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Michael\OneDrive\Documents\REACH2020\MCNA VIII\6. Data Analysis\3. HNO Analysis\"/>
    </mc:Choice>
  </mc:AlternateContent>
  <xr:revisionPtr revIDLastSave="0" documentId="8_{B40C2D16-1FE4-435F-82BC-8C50465EBFA7}" xr6:coauthVersionLast="45" xr6:coauthVersionMax="45" xr10:uidLastSave="{00000000-0000-0000-0000-000000000000}"/>
  <bookViews>
    <workbookView xWindow="-110" yWindow="-110" windowWidth="19420" windowHeight="10420" firstSheet="1" activeTab="2" xr2:uid="{00000000-000D-0000-FFFF-FFFF00000000}"/>
  </bookViews>
  <sheets>
    <sheet name="READ_ME" sheetId="11" r:id="rId1"/>
    <sheet name="1. Analytical Framework" sheetId="13" r:id="rId2"/>
    <sheet name="2. Intercluster_PIN_Sev" sheetId="48" r:id="rId3"/>
    <sheet name="3. Cluster_PIN_Sev" sheetId="29" r:id="rId4"/>
    <sheet name="3.1. CCCM" sheetId="35" state="hidden" r:id="rId5"/>
    <sheet name="3.2. Education" sheetId="47" state="hidden" r:id="rId6"/>
    <sheet name="3.3. ELC" sheetId="42" state="hidden" r:id="rId7"/>
    <sheet name="3.4. FSC" sheetId="39" state="hidden" r:id="rId8"/>
    <sheet name="3.5. Health" sheetId="37" state="hidden" r:id="rId9"/>
    <sheet name="3.6. Protection " sheetId="40" state="hidden" r:id="rId10"/>
    <sheet name="3.7. SNFI" sheetId="36" state="hidden" r:id="rId11"/>
    <sheet name="3.8. WASH" sheetId="45" state="hidden" r:id="rId12"/>
    <sheet name="4. REF_2021 JIAF IRT" sheetId="34" r:id="rId13"/>
    <sheet name="5. REF_JIAF_Severity" sheetId="44" r:id="rId14"/>
    <sheet name="6. REF_2020HNO_Intersector" sheetId="33" r:id="rId15"/>
    <sheet name="7. REF_2020HNO_Cluster-indic " sheetId="41" r:id="rId16"/>
    <sheet name="Dropdown" sheetId="46" r:id="rId17"/>
    <sheet name="8. 2019_Pool of Indicators " sheetId="6" state="hidden" r:id="rId18"/>
  </sheets>
  <externalReferences>
    <externalReference r:id="rId19"/>
    <externalReference r:id="rId20"/>
  </externalReferences>
  <definedNames>
    <definedName name="_xlnm._FilterDatabase" localSheetId="2" hidden="1">'2. Intercluster_PIN_Sev'!$A$9:$V$35</definedName>
    <definedName name="_xlnm._FilterDatabase" localSheetId="3" hidden="1">'3. Cluster_PIN_Sev'!$A$8:$O$62</definedName>
    <definedName name="_xlnm._FilterDatabase" localSheetId="4" hidden="1">'3.1. CCCM'!$A$2:$U$118</definedName>
    <definedName name="_xlnm._FilterDatabase" localSheetId="6" hidden="1">'3.3. ELC'!$A$4:$N$7</definedName>
    <definedName name="_xlnm._FilterDatabase" localSheetId="7" hidden="1">'3.4. FSC'!$A$1:$R$12</definedName>
    <definedName name="_xlnm._FilterDatabase" localSheetId="8" hidden="1">'3.5. Health'!$A$2:$S$118</definedName>
    <definedName name="_xlnm._FilterDatabase" localSheetId="9" hidden="1">'3.6. Protection '!$A$1:$R$41</definedName>
    <definedName name="_xlnm._FilterDatabase" localSheetId="12" hidden="1">'4. REF_2021 JIAF IRT'!$A$6:$P$122</definedName>
    <definedName name="_xlnm._FilterDatabase" localSheetId="17" hidden="1">'8. 2019_Pool of Indicators '!$A$3:$N$167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5" i="40" l="1"/>
  <c r="N15" i="40"/>
  <c r="M15" i="40"/>
  <c r="L15" i="40"/>
  <c r="K15" i="40"/>
  <c r="J15" i="40"/>
  <c r="I15" i="40"/>
  <c r="H15" i="40"/>
  <c r="F15" i="40"/>
  <c r="E15" i="40"/>
  <c r="D15" i="40"/>
  <c r="C15" i="40"/>
  <c r="B15" i="40"/>
  <c r="L17" i="40"/>
  <c r="K17" i="40"/>
  <c r="J17" i="40"/>
  <c r="I17" i="40"/>
  <c r="H17" i="40"/>
  <c r="E17" i="40"/>
  <c r="D17" i="40"/>
  <c r="C17" i="40"/>
  <c r="B17" i="40"/>
  <c r="L19" i="40"/>
  <c r="K19" i="40"/>
  <c r="J19" i="40"/>
  <c r="I19" i="40"/>
  <c r="H19" i="40"/>
  <c r="E19" i="40"/>
  <c r="D19" i="40"/>
  <c r="C19" i="40"/>
  <c r="B19" i="40"/>
  <c r="K21" i="40"/>
  <c r="J21" i="40"/>
  <c r="I21" i="40"/>
  <c r="H21" i="40"/>
  <c r="E21" i="40"/>
  <c r="D21" i="40"/>
  <c r="C21" i="40"/>
  <c r="B21" i="40"/>
  <c r="K23" i="40"/>
  <c r="J23" i="40"/>
  <c r="I23" i="40"/>
  <c r="H23" i="40"/>
  <c r="F23" i="40"/>
  <c r="E23" i="40"/>
  <c r="D23" i="40"/>
  <c r="C23" i="40"/>
  <c r="B23" i="40"/>
  <c r="O30" i="40" l="1"/>
  <c r="N30" i="40"/>
  <c r="M30" i="40"/>
  <c r="L30" i="40"/>
  <c r="K30" i="40"/>
  <c r="J30" i="40"/>
  <c r="I30" i="40"/>
  <c r="H30" i="40"/>
  <c r="F30" i="40"/>
  <c r="E30" i="40"/>
  <c r="D30" i="40"/>
  <c r="C30" i="40"/>
  <c r="B30" i="40"/>
  <c r="A30" i="40"/>
  <c r="O29" i="40"/>
  <c r="N29" i="40"/>
  <c r="M29" i="40"/>
  <c r="L29" i="40"/>
  <c r="K29" i="40"/>
  <c r="J29" i="40"/>
  <c r="I29" i="40"/>
  <c r="H29" i="40"/>
  <c r="F29" i="40"/>
  <c r="E29" i="40"/>
  <c r="D29" i="40"/>
  <c r="C29" i="40"/>
  <c r="B29" i="40"/>
  <c r="A29" i="40"/>
  <c r="O28" i="40"/>
  <c r="N28" i="40"/>
  <c r="M28" i="40"/>
  <c r="L28" i="40"/>
  <c r="K28" i="40"/>
  <c r="J28" i="40"/>
  <c r="I28" i="40"/>
  <c r="H28" i="40"/>
  <c r="F28" i="40"/>
  <c r="E28" i="40"/>
  <c r="D28" i="40"/>
  <c r="C28" i="40"/>
  <c r="B28" i="40"/>
  <c r="A28" i="40"/>
  <c r="J27" i="40"/>
  <c r="I27" i="40"/>
  <c r="H27" i="40"/>
  <c r="F27" i="40"/>
  <c r="E27" i="40"/>
  <c r="D27" i="40"/>
  <c r="C27" i="40"/>
  <c r="B27" i="40"/>
  <c r="A27" i="40"/>
  <c r="O26" i="40"/>
  <c r="N26" i="40"/>
  <c r="M26" i="40"/>
  <c r="L26" i="40"/>
  <c r="K26" i="40"/>
  <c r="J26" i="40"/>
  <c r="I26" i="40"/>
  <c r="H26" i="40"/>
  <c r="F26" i="40"/>
  <c r="E26" i="40"/>
  <c r="D26" i="40"/>
  <c r="C26" i="40"/>
  <c r="B26" i="40"/>
  <c r="A26" i="40"/>
  <c r="O25" i="40"/>
  <c r="N25" i="40"/>
  <c r="M25" i="40"/>
  <c r="L25" i="40"/>
  <c r="K25" i="40"/>
  <c r="J25" i="40"/>
  <c r="I25" i="40"/>
  <c r="H25" i="40"/>
  <c r="F25" i="40"/>
  <c r="E25" i="40"/>
  <c r="D25" i="40"/>
  <c r="C25" i="40"/>
  <c r="B25" i="40"/>
  <c r="A25" i="40"/>
  <c r="O24" i="40"/>
  <c r="N24" i="40"/>
  <c r="M24" i="40"/>
  <c r="L24" i="40"/>
  <c r="K24" i="40"/>
  <c r="J24" i="40"/>
  <c r="I24" i="40"/>
  <c r="H24" i="40"/>
  <c r="F24" i="40"/>
  <c r="E24" i="40"/>
  <c r="D24" i="40"/>
  <c r="C24" i="40"/>
  <c r="B24" i="40"/>
  <c r="A24" i="40"/>
  <c r="O22" i="40"/>
  <c r="N22" i="40"/>
  <c r="M22" i="40"/>
  <c r="L22" i="40"/>
  <c r="K22" i="40"/>
  <c r="J22" i="40"/>
  <c r="I22" i="40"/>
  <c r="H22" i="40"/>
  <c r="F22" i="40"/>
  <c r="E22" i="40"/>
  <c r="D22" i="40"/>
  <c r="C22" i="40"/>
  <c r="B22" i="40"/>
  <c r="A22" i="40"/>
  <c r="F8" i="35" l="1"/>
  <c r="F3" i="35"/>
  <c r="C120" i="34" l="1"/>
  <c r="O122" i="34" l="1"/>
  <c r="N122" i="34"/>
  <c r="M122" i="34"/>
  <c r="L122" i="34"/>
  <c r="K122" i="34"/>
  <c r="J122" i="34"/>
  <c r="I122" i="34"/>
  <c r="H122" i="34"/>
  <c r="F122" i="34"/>
  <c r="E122" i="34"/>
  <c r="D122" i="34"/>
  <c r="C122" i="34"/>
  <c r="B122" i="34"/>
  <c r="A122" i="34"/>
  <c r="O121" i="34"/>
  <c r="N121" i="34"/>
  <c r="M121" i="34"/>
  <c r="L121" i="34"/>
  <c r="K121" i="34"/>
  <c r="J121" i="34"/>
  <c r="I121" i="34"/>
  <c r="H121" i="34"/>
  <c r="F121" i="34"/>
  <c r="E121" i="34"/>
  <c r="D121" i="34"/>
  <c r="C121" i="34"/>
  <c r="B121" i="34"/>
  <c r="A121" i="34"/>
  <c r="O120" i="34"/>
  <c r="N120" i="34"/>
  <c r="M120" i="34"/>
  <c r="L120" i="34"/>
  <c r="K120" i="34"/>
  <c r="J120" i="34"/>
  <c r="I120" i="34"/>
  <c r="H120" i="34"/>
  <c r="F120" i="34"/>
  <c r="E120" i="34"/>
  <c r="D120" i="34"/>
  <c r="B120" i="34"/>
  <c r="A120" i="34"/>
  <c r="O119" i="34"/>
  <c r="N119" i="34"/>
  <c r="M119" i="34"/>
  <c r="L119" i="34"/>
  <c r="K119" i="34"/>
  <c r="J119" i="34"/>
  <c r="I119" i="34"/>
  <c r="H119" i="34"/>
  <c r="F119" i="34"/>
  <c r="E119" i="34"/>
  <c r="D119" i="34"/>
  <c r="C119" i="34"/>
  <c r="B119" i="34"/>
  <c r="A119" i="34"/>
  <c r="O118" i="34"/>
  <c r="M118" i="34"/>
  <c r="K118" i="34"/>
  <c r="J118" i="34"/>
  <c r="I118" i="34"/>
  <c r="H118" i="34"/>
  <c r="F118" i="34"/>
  <c r="E118" i="34"/>
  <c r="D118" i="34"/>
  <c r="C118" i="34"/>
  <c r="B118" i="34"/>
  <c r="A118" i="34"/>
  <c r="O117" i="34"/>
  <c r="N117" i="34"/>
  <c r="M117" i="34"/>
  <c r="L117" i="34"/>
  <c r="K117" i="34"/>
  <c r="J117" i="34"/>
  <c r="I117" i="34"/>
  <c r="H117" i="34"/>
  <c r="F117" i="34"/>
  <c r="E117" i="34"/>
  <c r="D117" i="34"/>
  <c r="C117" i="34"/>
  <c r="B117" i="34"/>
  <c r="A117" i="34"/>
  <c r="O116" i="34"/>
  <c r="N116" i="34"/>
  <c r="M116" i="34"/>
  <c r="L116" i="34"/>
  <c r="K116" i="34"/>
  <c r="J116" i="34"/>
  <c r="I116" i="34"/>
  <c r="H116" i="34"/>
  <c r="F116" i="34"/>
  <c r="E116" i="34"/>
  <c r="D116" i="34"/>
  <c r="C116" i="34"/>
  <c r="B116" i="34"/>
  <c r="A116" i="34"/>
  <c r="O115" i="34"/>
  <c r="N115" i="34"/>
  <c r="M115" i="34"/>
  <c r="L115" i="34"/>
  <c r="K115" i="34"/>
  <c r="F115" i="34"/>
  <c r="E115" i="34"/>
  <c r="D115" i="34"/>
  <c r="C115" i="34"/>
  <c r="B115" i="34"/>
  <c r="A115" i="34"/>
  <c r="O114" i="34"/>
  <c r="N114" i="34"/>
  <c r="M114" i="34"/>
  <c r="L114" i="34"/>
  <c r="K114" i="34"/>
  <c r="J114" i="34"/>
  <c r="I114" i="34"/>
  <c r="H114" i="34"/>
  <c r="F114" i="34"/>
  <c r="E114" i="34"/>
  <c r="D114" i="34"/>
  <c r="C114" i="34"/>
  <c r="B114" i="34"/>
  <c r="A114" i="34"/>
  <c r="O113" i="34"/>
  <c r="N113" i="34"/>
  <c r="M113" i="34"/>
  <c r="L113" i="34"/>
  <c r="K113" i="34"/>
  <c r="J113" i="34"/>
  <c r="I113" i="34"/>
  <c r="H113" i="34"/>
  <c r="F113" i="34"/>
  <c r="E113" i="34"/>
  <c r="D113" i="34"/>
  <c r="C113" i="34"/>
  <c r="B113" i="34"/>
  <c r="A113" i="34"/>
  <c r="O112" i="34"/>
  <c r="N112" i="34"/>
  <c r="M112" i="34"/>
  <c r="L112" i="34"/>
  <c r="K112" i="34"/>
  <c r="F112" i="34"/>
  <c r="E112" i="34"/>
  <c r="D112" i="34"/>
  <c r="C112" i="34"/>
  <c r="B112" i="34"/>
  <c r="A112" i="34"/>
  <c r="O111" i="34"/>
  <c r="N111" i="34"/>
  <c r="M111" i="34"/>
  <c r="L111" i="34"/>
  <c r="K111" i="34"/>
  <c r="F111" i="34"/>
  <c r="E111" i="34"/>
  <c r="D111" i="34"/>
  <c r="C111" i="34"/>
  <c r="B111" i="34"/>
  <c r="A111" i="34"/>
  <c r="O110" i="34"/>
  <c r="N110" i="34"/>
  <c r="M110" i="34"/>
  <c r="L110" i="34"/>
  <c r="K110" i="34"/>
  <c r="J110" i="34"/>
  <c r="I110" i="34"/>
  <c r="H110" i="34"/>
  <c r="F110" i="34"/>
  <c r="E110" i="34"/>
  <c r="D110" i="34"/>
  <c r="C110" i="34"/>
  <c r="B110" i="34"/>
  <c r="A110" i="34"/>
  <c r="O109" i="34"/>
  <c r="N109" i="34"/>
  <c r="M109" i="34"/>
  <c r="L109" i="34"/>
  <c r="K109" i="34"/>
  <c r="J109" i="34"/>
  <c r="H109" i="34"/>
  <c r="F109" i="34"/>
  <c r="E109" i="34"/>
  <c r="D109" i="34"/>
  <c r="C109" i="34"/>
  <c r="B109" i="34"/>
  <c r="A109" i="34"/>
  <c r="P108" i="34"/>
  <c r="O108" i="34"/>
  <c r="N108" i="34"/>
  <c r="M108" i="34"/>
  <c r="L108" i="34"/>
  <c r="K108" i="34"/>
  <c r="J108" i="34"/>
  <c r="H108" i="34"/>
  <c r="F108" i="34"/>
  <c r="E108" i="34"/>
  <c r="D108" i="34"/>
  <c r="C108" i="34"/>
  <c r="B108" i="34"/>
  <c r="A108" i="34"/>
  <c r="O107" i="34"/>
  <c r="N107" i="34"/>
  <c r="M107" i="34"/>
  <c r="L107" i="34"/>
  <c r="K107" i="34"/>
  <c r="F107" i="34"/>
  <c r="E107" i="34"/>
  <c r="D107" i="34"/>
  <c r="C107" i="34"/>
  <c r="B107" i="34"/>
  <c r="A107" i="34"/>
  <c r="O106" i="34"/>
  <c r="N106" i="34"/>
  <c r="M106" i="34"/>
  <c r="L106" i="34"/>
  <c r="K106" i="34"/>
  <c r="J106" i="34"/>
  <c r="H106" i="34"/>
  <c r="F106" i="34"/>
  <c r="E106" i="34"/>
  <c r="D106" i="34"/>
  <c r="C106" i="34"/>
  <c r="B106" i="34"/>
  <c r="A106" i="34"/>
  <c r="O105" i="34"/>
  <c r="N105" i="34"/>
  <c r="M105" i="34"/>
  <c r="L105" i="34"/>
  <c r="K105" i="34"/>
  <c r="F105" i="34"/>
  <c r="E105" i="34"/>
  <c r="D105" i="34"/>
  <c r="C105" i="34"/>
  <c r="B105" i="34"/>
  <c r="A105" i="34"/>
  <c r="P104" i="34"/>
  <c r="O104" i="34"/>
  <c r="N104" i="34"/>
  <c r="M104" i="34"/>
  <c r="L104" i="34"/>
  <c r="K104" i="34"/>
  <c r="J104" i="34"/>
  <c r="I104" i="34"/>
  <c r="H104" i="34"/>
  <c r="F104" i="34"/>
  <c r="E104" i="34"/>
  <c r="D104" i="34"/>
  <c r="C104" i="34"/>
  <c r="B104" i="34"/>
  <c r="A104" i="34"/>
  <c r="P103" i="34"/>
  <c r="O103" i="34"/>
  <c r="N103" i="34"/>
  <c r="M103" i="34"/>
  <c r="L103" i="34"/>
  <c r="K103" i="34"/>
  <c r="J103" i="34"/>
  <c r="I103" i="34"/>
  <c r="H103" i="34"/>
  <c r="F103" i="34"/>
  <c r="E103" i="34"/>
  <c r="D103" i="34"/>
  <c r="C103" i="34"/>
  <c r="B103" i="34"/>
  <c r="A103" i="34"/>
  <c r="O102" i="34"/>
  <c r="N102" i="34"/>
  <c r="M102" i="34"/>
  <c r="L102" i="34"/>
  <c r="K102" i="34"/>
  <c r="J102" i="34"/>
  <c r="I102" i="34"/>
  <c r="H102" i="34"/>
  <c r="F102" i="34"/>
  <c r="E102" i="34"/>
  <c r="D102" i="34"/>
  <c r="C102" i="34"/>
  <c r="B102" i="34"/>
  <c r="A102" i="34"/>
  <c r="J101" i="34"/>
  <c r="I101" i="34"/>
  <c r="H101" i="34"/>
  <c r="F101" i="34"/>
  <c r="E101" i="34"/>
  <c r="D101" i="34"/>
  <c r="C101" i="34"/>
  <c r="B101" i="34"/>
  <c r="A101" i="34"/>
  <c r="O100" i="34"/>
  <c r="N100" i="34"/>
  <c r="M100" i="34"/>
  <c r="L100" i="34"/>
  <c r="K100" i="34"/>
  <c r="J100" i="34"/>
  <c r="I100" i="34"/>
  <c r="H100" i="34"/>
  <c r="F100" i="34"/>
  <c r="E100" i="34"/>
  <c r="D100" i="34"/>
  <c r="C100" i="34"/>
  <c r="B100" i="34"/>
  <c r="A100" i="34"/>
  <c r="O99" i="34"/>
  <c r="N99" i="34"/>
  <c r="M99" i="34"/>
  <c r="L99" i="34"/>
  <c r="K99" i="34"/>
  <c r="J99" i="34"/>
  <c r="I99" i="34"/>
  <c r="H99" i="34"/>
  <c r="F99" i="34"/>
  <c r="E99" i="34"/>
  <c r="D99" i="34"/>
  <c r="C99" i="34"/>
  <c r="B99" i="34"/>
  <c r="A99" i="34"/>
  <c r="O98" i="34"/>
  <c r="N98" i="34"/>
  <c r="M98" i="34"/>
  <c r="L98" i="34"/>
  <c r="K98" i="34"/>
  <c r="J98" i="34"/>
  <c r="I98" i="34"/>
  <c r="H98" i="34"/>
  <c r="F98" i="34"/>
  <c r="E98" i="34"/>
  <c r="D98" i="34"/>
  <c r="C98" i="34"/>
  <c r="B98" i="34"/>
  <c r="A98" i="34"/>
  <c r="O97" i="34"/>
  <c r="N97" i="34"/>
  <c r="M97" i="34"/>
  <c r="L97" i="34"/>
  <c r="K97" i="34"/>
  <c r="J97" i="34"/>
  <c r="I97" i="34"/>
  <c r="H97" i="34"/>
  <c r="F97" i="34"/>
  <c r="E97" i="34"/>
  <c r="D97" i="34"/>
  <c r="C97" i="34"/>
  <c r="B97" i="34"/>
  <c r="A97" i="34"/>
  <c r="O96" i="34"/>
  <c r="N96" i="34"/>
  <c r="M96" i="34"/>
  <c r="L96" i="34"/>
  <c r="K96" i="34"/>
  <c r="J96" i="34"/>
  <c r="I96" i="34"/>
  <c r="H96" i="34"/>
  <c r="F96" i="34"/>
  <c r="E96" i="34"/>
  <c r="D96" i="34"/>
  <c r="C96" i="34"/>
  <c r="B96" i="34"/>
  <c r="A96" i="34"/>
  <c r="O95" i="34"/>
  <c r="N95" i="34"/>
  <c r="M95" i="34"/>
  <c r="L95" i="34"/>
  <c r="K95" i="34"/>
  <c r="J95" i="34"/>
  <c r="I95" i="34"/>
  <c r="H95" i="34"/>
  <c r="F95" i="34"/>
  <c r="E95" i="34"/>
  <c r="D95" i="34"/>
  <c r="C95" i="34"/>
  <c r="B95" i="34"/>
  <c r="A95" i="34"/>
  <c r="J94" i="34"/>
  <c r="I94" i="34"/>
  <c r="H94" i="34"/>
  <c r="F94" i="34"/>
  <c r="E94" i="34"/>
  <c r="D94" i="34"/>
  <c r="C94" i="34"/>
  <c r="B94" i="34"/>
  <c r="A94" i="34"/>
  <c r="O93" i="34"/>
  <c r="N93" i="34"/>
  <c r="M93" i="34"/>
  <c r="L93" i="34"/>
  <c r="K93" i="34"/>
  <c r="J93" i="34"/>
  <c r="I93" i="34"/>
  <c r="H93" i="34"/>
  <c r="F93" i="34"/>
  <c r="E93" i="34"/>
  <c r="D93" i="34"/>
  <c r="C93" i="34"/>
  <c r="B93" i="34"/>
  <c r="A93" i="34"/>
  <c r="O92" i="34"/>
  <c r="N92" i="34"/>
  <c r="M92" i="34"/>
  <c r="L92" i="34"/>
  <c r="K92" i="34"/>
  <c r="J92" i="34"/>
  <c r="I92" i="34"/>
  <c r="H92" i="34"/>
  <c r="F92" i="34"/>
  <c r="E92" i="34"/>
  <c r="D92" i="34"/>
  <c r="C92" i="34"/>
  <c r="B92" i="34"/>
  <c r="A92" i="34"/>
  <c r="O91" i="34"/>
  <c r="N91" i="34"/>
  <c r="M91" i="34"/>
  <c r="L91" i="34"/>
  <c r="K91" i="34"/>
  <c r="J91" i="34"/>
  <c r="I91" i="34"/>
  <c r="H91" i="34"/>
  <c r="F91" i="34"/>
  <c r="E91" i="34"/>
  <c r="D91" i="34"/>
  <c r="C91" i="34"/>
  <c r="B91" i="34"/>
  <c r="A91" i="34"/>
  <c r="J90" i="34"/>
  <c r="I90" i="34"/>
  <c r="H90" i="34"/>
  <c r="F90" i="34"/>
  <c r="E90" i="34"/>
  <c r="D90" i="34"/>
  <c r="C90" i="34"/>
  <c r="B90" i="34"/>
  <c r="A90" i="34"/>
  <c r="O89" i="34"/>
  <c r="N89" i="34"/>
  <c r="M89" i="34"/>
  <c r="L89" i="34"/>
  <c r="K89" i="34"/>
  <c r="J89" i="34"/>
  <c r="I89" i="34"/>
  <c r="H89" i="34"/>
  <c r="F89" i="34"/>
  <c r="E89" i="34"/>
  <c r="D89" i="34"/>
  <c r="C89" i="34"/>
  <c r="B89" i="34"/>
  <c r="A89" i="34"/>
  <c r="O88" i="34"/>
  <c r="N88" i="34"/>
  <c r="M88" i="34"/>
  <c r="L88" i="34"/>
  <c r="K88" i="34"/>
  <c r="J88" i="34"/>
  <c r="I88" i="34"/>
  <c r="H88" i="34"/>
  <c r="F88" i="34"/>
  <c r="E88" i="34"/>
  <c r="D88" i="34"/>
  <c r="C88" i="34"/>
  <c r="B88" i="34"/>
  <c r="A88" i="34"/>
  <c r="O87" i="34"/>
  <c r="N87" i="34"/>
  <c r="M87" i="34"/>
  <c r="L87" i="34"/>
  <c r="K87" i="34"/>
  <c r="J87" i="34"/>
  <c r="I87" i="34"/>
  <c r="H87" i="34"/>
  <c r="F87" i="34"/>
  <c r="E87" i="34"/>
  <c r="D87" i="34"/>
  <c r="C87" i="34"/>
  <c r="B87" i="34"/>
  <c r="A87" i="34"/>
  <c r="O86" i="34"/>
  <c r="N86" i="34"/>
  <c r="M86" i="34"/>
  <c r="L86" i="34"/>
  <c r="K86" i="34"/>
  <c r="J86" i="34"/>
  <c r="I86" i="34"/>
  <c r="H86" i="34"/>
  <c r="F86" i="34"/>
  <c r="E86" i="34"/>
  <c r="D86" i="34"/>
  <c r="C86" i="34"/>
  <c r="B86" i="34"/>
  <c r="A86" i="34"/>
  <c r="O85" i="34"/>
  <c r="N85" i="34"/>
  <c r="M85" i="34"/>
  <c r="L85" i="34"/>
  <c r="K85" i="34"/>
  <c r="J85" i="34"/>
  <c r="I85" i="34"/>
  <c r="H85" i="34"/>
  <c r="F85" i="34"/>
  <c r="E85" i="34"/>
  <c r="D85" i="34"/>
  <c r="C85" i="34"/>
  <c r="B85" i="34"/>
  <c r="A85" i="34"/>
  <c r="O84" i="34"/>
  <c r="N84" i="34"/>
  <c r="M84" i="34"/>
  <c r="L84" i="34"/>
  <c r="K84" i="34"/>
  <c r="J84" i="34"/>
  <c r="I84" i="34"/>
  <c r="H84" i="34"/>
  <c r="F84" i="34"/>
  <c r="E84" i="34"/>
  <c r="D84" i="34"/>
  <c r="C84" i="34"/>
  <c r="B84" i="34"/>
  <c r="A84" i="34"/>
  <c r="O83" i="34"/>
  <c r="N83" i="34"/>
  <c r="M83" i="34"/>
  <c r="L83" i="34"/>
  <c r="K83" i="34"/>
  <c r="J83" i="34"/>
  <c r="I83" i="34"/>
  <c r="H83" i="34"/>
  <c r="F83" i="34"/>
  <c r="E83" i="34"/>
  <c r="D83" i="34"/>
  <c r="C83" i="34"/>
  <c r="B83" i="34"/>
  <c r="A83" i="34"/>
  <c r="O82" i="34"/>
  <c r="N82" i="34"/>
  <c r="M82" i="34"/>
  <c r="L82" i="34"/>
  <c r="K82" i="34"/>
  <c r="J82" i="34"/>
  <c r="I82" i="34"/>
  <c r="H82" i="34"/>
  <c r="F82" i="34"/>
  <c r="E82" i="34"/>
  <c r="D82" i="34"/>
  <c r="C82" i="34"/>
  <c r="B82" i="34"/>
  <c r="A82" i="34"/>
  <c r="O81" i="34"/>
  <c r="N81" i="34"/>
  <c r="M81" i="34"/>
  <c r="L81" i="34"/>
  <c r="K81" i="34"/>
  <c r="J81" i="34"/>
  <c r="I81" i="34"/>
  <c r="F81" i="34"/>
  <c r="E81" i="34"/>
  <c r="D81" i="34"/>
  <c r="C81" i="34"/>
  <c r="B81" i="34"/>
  <c r="A81" i="34"/>
  <c r="O80" i="34"/>
  <c r="N80" i="34"/>
  <c r="M80" i="34"/>
  <c r="L80" i="34"/>
  <c r="K80" i="34"/>
  <c r="J80" i="34"/>
  <c r="I80" i="34"/>
  <c r="H80" i="34"/>
  <c r="F80" i="34"/>
  <c r="E80" i="34"/>
  <c r="D80" i="34"/>
  <c r="C80" i="34"/>
  <c r="B80" i="34"/>
  <c r="A80" i="34"/>
  <c r="O79" i="34"/>
  <c r="N79" i="34"/>
  <c r="M79" i="34"/>
  <c r="L79" i="34"/>
  <c r="K79" i="34"/>
  <c r="J79" i="34"/>
  <c r="I79" i="34"/>
  <c r="H79" i="34"/>
  <c r="F79" i="34"/>
  <c r="E79" i="34"/>
  <c r="D79" i="34"/>
  <c r="C79" i="34"/>
  <c r="B79" i="34"/>
  <c r="A79" i="34"/>
  <c r="O78" i="34"/>
  <c r="N78" i="34"/>
  <c r="M78" i="34"/>
  <c r="L78" i="34"/>
  <c r="K78" i="34"/>
  <c r="J78" i="34"/>
  <c r="I78" i="34"/>
  <c r="H78" i="34"/>
  <c r="F78" i="34"/>
  <c r="E78" i="34"/>
  <c r="D78" i="34"/>
  <c r="C78" i="34"/>
  <c r="B78" i="34"/>
  <c r="A78" i="34"/>
  <c r="O77" i="34"/>
  <c r="N77" i="34"/>
  <c r="M77" i="34"/>
  <c r="L77" i="34"/>
  <c r="K77" i="34"/>
  <c r="J77" i="34"/>
  <c r="I77" i="34"/>
  <c r="H77" i="34"/>
  <c r="F77" i="34"/>
  <c r="E77" i="34"/>
  <c r="D77" i="34"/>
  <c r="C77" i="34"/>
  <c r="B77" i="34"/>
  <c r="A77" i="34"/>
  <c r="O76" i="34"/>
  <c r="N76" i="34"/>
  <c r="M76" i="34"/>
  <c r="L76" i="34"/>
  <c r="K76" i="34"/>
  <c r="J76" i="34"/>
  <c r="I76" i="34"/>
  <c r="H76" i="34"/>
  <c r="F76" i="34"/>
  <c r="E76" i="34"/>
  <c r="D76" i="34"/>
  <c r="C76" i="34"/>
  <c r="B76" i="34"/>
  <c r="A76" i="34"/>
  <c r="O75" i="34"/>
  <c r="N75" i="34"/>
  <c r="M75" i="34"/>
  <c r="L75" i="34"/>
  <c r="K75" i="34"/>
  <c r="J75" i="34"/>
  <c r="I75" i="34"/>
  <c r="H75" i="34"/>
  <c r="F75" i="34"/>
  <c r="E75" i="34"/>
  <c r="D75" i="34"/>
  <c r="C75" i="34"/>
  <c r="B75" i="34"/>
  <c r="A75" i="34"/>
  <c r="O74" i="34"/>
  <c r="N74" i="34"/>
  <c r="M74" i="34"/>
  <c r="L74" i="34"/>
  <c r="K74" i="34"/>
  <c r="J74" i="34"/>
  <c r="I74" i="34"/>
  <c r="H74" i="34"/>
  <c r="F74" i="34"/>
  <c r="E74" i="34"/>
  <c r="D74" i="34"/>
  <c r="C74" i="34"/>
  <c r="B74" i="34"/>
  <c r="A74" i="34"/>
  <c r="O73" i="34"/>
  <c r="N73" i="34"/>
  <c r="M73" i="34"/>
  <c r="L73" i="34"/>
  <c r="K73" i="34"/>
  <c r="J73" i="34"/>
  <c r="I73" i="34"/>
  <c r="H73" i="34"/>
  <c r="F73" i="34"/>
  <c r="E73" i="34"/>
  <c r="D73" i="34"/>
  <c r="C73" i="34"/>
  <c r="B73" i="34"/>
  <c r="A73" i="34"/>
  <c r="O72" i="34"/>
  <c r="N72" i="34"/>
  <c r="M72" i="34"/>
  <c r="L72" i="34"/>
  <c r="K72" i="34"/>
  <c r="J72" i="34"/>
  <c r="I72" i="34"/>
  <c r="H72" i="34"/>
  <c r="F72" i="34"/>
  <c r="E72" i="34"/>
  <c r="D72" i="34"/>
  <c r="C72" i="34"/>
  <c r="B72" i="34"/>
  <c r="A72" i="34"/>
  <c r="O71" i="34"/>
  <c r="N71" i="34"/>
  <c r="M71" i="34"/>
  <c r="L71" i="34"/>
  <c r="K71" i="34"/>
  <c r="J71" i="34"/>
  <c r="I71" i="34"/>
  <c r="H71" i="34"/>
  <c r="F71" i="34"/>
  <c r="E71" i="34"/>
  <c r="D71" i="34"/>
  <c r="C71" i="34"/>
  <c r="B71" i="34"/>
  <c r="A71" i="34"/>
  <c r="J70" i="34"/>
  <c r="I70" i="34"/>
  <c r="F70" i="34"/>
  <c r="E70" i="34"/>
  <c r="D70" i="34"/>
  <c r="C70" i="34"/>
  <c r="B70" i="34"/>
  <c r="A70" i="34"/>
  <c r="P69" i="34"/>
  <c r="N69" i="34"/>
  <c r="M69" i="34"/>
  <c r="L69" i="34"/>
  <c r="K69" i="34"/>
  <c r="J69" i="34"/>
  <c r="I69" i="34"/>
  <c r="H69" i="34"/>
  <c r="F69" i="34"/>
  <c r="E69" i="34"/>
  <c r="D69" i="34"/>
  <c r="C69" i="34"/>
  <c r="B69" i="34"/>
  <c r="A69" i="34"/>
  <c r="P68" i="34"/>
  <c r="O68" i="34"/>
  <c r="N68" i="34"/>
  <c r="M68" i="34"/>
  <c r="L68" i="34"/>
  <c r="K68" i="34"/>
  <c r="J68" i="34"/>
  <c r="I68" i="34"/>
  <c r="H68" i="34"/>
  <c r="F68" i="34"/>
  <c r="E68" i="34"/>
  <c r="D68" i="34"/>
  <c r="C68" i="34"/>
  <c r="B68" i="34"/>
  <c r="A68" i="34"/>
  <c r="P67" i="34"/>
  <c r="O67" i="34"/>
  <c r="N67" i="34"/>
  <c r="M67" i="34"/>
  <c r="L67" i="34"/>
  <c r="J67" i="34"/>
  <c r="I67" i="34"/>
  <c r="F67" i="34"/>
  <c r="E67" i="34"/>
  <c r="D67" i="34"/>
  <c r="C67" i="34"/>
  <c r="B67" i="34"/>
  <c r="A67" i="34"/>
  <c r="P66" i="34"/>
  <c r="O66" i="34"/>
  <c r="N66" i="34"/>
  <c r="M66" i="34"/>
  <c r="L66" i="34"/>
  <c r="J66" i="34"/>
  <c r="I66" i="34"/>
  <c r="F66" i="34"/>
  <c r="E66" i="34"/>
  <c r="D66" i="34"/>
  <c r="C66" i="34"/>
  <c r="B66" i="34"/>
  <c r="A66" i="34"/>
  <c r="P65" i="34"/>
  <c r="N65" i="34"/>
  <c r="M65" i="34"/>
  <c r="L65" i="34"/>
  <c r="K65" i="34"/>
  <c r="J65" i="34"/>
  <c r="I65" i="34"/>
  <c r="H65" i="34"/>
  <c r="F65" i="34"/>
  <c r="E65" i="34"/>
  <c r="D65" i="34"/>
  <c r="C65" i="34"/>
  <c r="B65" i="34"/>
  <c r="A65" i="34"/>
  <c r="P64" i="34"/>
  <c r="N64" i="34"/>
  <c r="M64" i="34"/>
  <c r="L64" i="34"/>
  <c r="K64" i="34"/>
  <c r="J64" i="34"/>
  <c r="I64" i="34"/>
  <c r="H64" i="34"/>
  <c r="F64" i="34"/>
  <c r="E64" i="34"/>
  <c r="D64" i="34"/>
  <c r="C64" i="34"/>
  <c r="B64" i="34"/>
  <c r="A64" i="34"/>
  <c r="O63" i="34"/>
  <c r="N63" i="34"/>
  <c r="M63" i="34"/>
  <c r="L63" i="34"/>
  <c r="K63" i="34"/>
  <c r="J63" i="34"/>
  <c r="I63" i="34"/>
  <c r="H63" i="34"/>
  <c r="F63" i="34"/>
  <c r="E63" i="34"/>
  <c r="D63" i="34"/>
  <c r="C63" i="34"/>
  <c r="B63" i="34"/>
  <c r="A63" i="34"/>
  <c r="P62" i="34"/>
  <c r="N62" i="34"/>
  <c r="M62" i="34"/>
  <c r="L62" i="34"/>
  <c r="K62" i="34"/>
  <c r="J62" i="34"/>
  <c r="I62" i="34"/>
  <c r="H62" i="34"/>
  <c r="F62" i="34"/>
  <c r="E62" i="34"/>
  <c r="D62" i="34"/>
  <c r="C62" i="34"/>
  <c r="B62" i="34"/>
  <c r="A62" i="34"/>
  <c r="P61" i="34"/>
  <c r="O61" i="34"/>
  <c r="N61" i="34"/>
  <c r="M61" i="34"/>
  <c r="L61" i="34"/>
  <c r="K61" i="34"/>
  <c r="J61" i="34"/>
  <c r="I61" i="34"/>
  <c r="H61" i="34"/>
  <c r="F61" i="34"/>
  <c r="E61" i="34"/>
  <c r="D61" i="34"/>
  <c r="C61" i="34"/>
  <c r="B61" i="34"/>
  <c r="A61" i="34"/>
  <c r="P60" i="34"/>
  <c r="N60" i="34"/>
  <c r="M60" i="34"/>
  <c r="L60" i="34"/>
  <c r="K60" i="34"/>
  <c r="J60" i="34"/>
  <c r="I60" i="34"/>
  <c r="H60" i="34"/>
  <c r="F60" i="34"/>
  <c r="E60" i="34"/>
  <c r="D60" i="34"/>
  <c r="C60" i="34"/>
  <c r="B60" i="34"/>
  <c r="A60" i="34"/>
  <c r="O59" i="34"/>
  <c r="N59" i="34"/>
  <c r="M59" i="34"/>
  <c r="L59" i="34"/>
  <c r="K59" i="34"/>
  <c r="J59" i="34"/>
  <c r="I59" i="34"/>
  <c r="H59" i="34"/>
  <c r="F59" i="34"/>
  <c r="E59" i="34"/>
  <c r="D59" i="34"/>
  <c r="C59" i="34"/>
  <c r="B59" i="34"/>
  <c r="A59" i="34"/>
  <c r="O58" i="34"/>
  <c r="N58" i="34"/>
  <c r="M58" i="34"/>
  <c r="L58" i="34"/>
  <c r="K58" i="34"/>
  <c r="J58" i="34"/>
  <c r="I58" i="34"/>
  <c r="H58" i="34"/>
  <c r="F58" i="34"/>
  <c r="E58" i="34"/>
  <c r="D58" i="34"/>
  <c r="C58" i="34"/>
  <c r="B58" i="34"/>
  <c r="A58" i="34"/>
  <c r="O57" i="34"/>
  <c r="N57" i="34"/>
  <c r="M57" i="34"/>
  <c r="L57" i="34"/>
  <c r="K57" i="34"/>
  <c r="J57" i="34"/>
  <c r="I57" i="34"/>
  <c r="H57" i="34"/>
  <c r="F57" i="34"/>
  <c r="E57" i="34"/>
  <c r="D57" i="34"/>
  <c r="C57" i="34"/>
  <c r="B57" i="34"/>
  <c r="A57" i="34"/>
  <c r="O56" i="34"/>
  <c r="N56" i="34"/>
  <c r="M56" i="34"/>
  <c r="L56" i="34"/>
  <c r="K56" i="34"/>
  <c r="J56" i="34"/>
  <c r="I56" i="34"/>
  <c r="H56" i="34"/>
  <c r="F56" i="34"/>
  <c r="E56" i="34"/>
  <c r="D56" i="34"/>
  <c r="C56" i="34"/>
  <c r="B56" i="34"/>
  <c r="A56" i="34"/>
  <c r="O55" i="34"/>
  <c r="N55" i="34"/>
  <c r="M55" i="34"/>
  <c r="L55" i="34"/>
  <c r="K55" i="34"/>
  <c r="J55" i="34"/>
  <c r="I55" i="34"/>
  <c r="H55" i="34"/>
  <c r="F55" i="34"/>
  <c r="E55" i="34"/>
  <c r="D55" i="34"/>
  <c r="C55" i="34"/>
  <c r="B55" i="34"/>
  <c r="A55" i="34"/>
  <c r="O54" i="34"/>
  <c r="N54" i="34"/>
  <c r="M54" i="34"/>
  <c r="L54" i="34"/>
  <c r="K54" i="34"/>
  <c r="J54" i="34"/>
  <c r="I54" i="34"/>
  <c r="H54" i="34"/>
  <c r="F54" i="34"/>
  <c r="E54" i="34"/>
  <c r="D54" i="34"/>
  <c r="C54" i="34"/>
  <c r="B54" i="34"/>
  <c r="A54" i="34"/>
  <c r="P53" i="34"/>
  <c r="O53" i="34"/>
  <c r="N53" i="34"/>
  <c r="M53" i="34"/>
  <c r="L53" i="34"/>
  <c r="K53" i="34"/>
  <c r="J53" i="34"/>
  <c r="H53" i="34"/>
  <c r="F53" i="34"/>
  <c r="E53" i="34"/>
  <c r="D53" i="34"/>
  <c r="C53" i="34"/>
  <c r="B53" i="34"/>
  <c r="A53" i="34"/>
  <c r="P52" i="34"/>
  <c r="O52" i="34"/>
  <c r="N52" i="34"/>
  <c r="M52" i="34"/>
  <c r="L52" i="34"/>
  <c r="K52" i="34"/>
  <c r="J52" i="34"/>
  <c r="H52" i="34"/>
  <c r="F52" i="34"/>
  <c r="E52" i="34"/>
  <c r="D52" i="34"/>
  <c r="C52" i="34"/>
  <c r="B52" i="34"/>
  <c r="A52" i="34"/>
  <c r="P51" i="34"/>
  <c r="O51" i="34"/>
  <c r="N51" i="34"/>
  <c r="M51" i="34"/>
  <c r="L51" i="34"/>
  <c r="K51" i="34"/>
  <c r="J51" i="34"/>
  <c r="F51" i="34"/>
  <c r="E51" i="34"/>
  <c r="D51" i="34"/>
  <c r="C51" i="34"/>
  <c r="B51" i="34"/>
  <c r="A51" i="34"/>
  <c r="P50" i="34"/>
  <c r="J50" i="34"/>
  <c r="H50" i="34"/>
  <c r="F50" i="34"/>
  <c r="E50" i="34"/>
  <c r="D50" i="34"/>
  <c r="C50" i="34"/>
  <c r="B50" i="34"/>
  <c r="A50" i="34"/>
  <c r="P49" i="34"/>
  <c r="J49" i="34"/>
  <c r="H49" i="34"/>
  <c r="F49" i="34"/>
  <c r="E49" i="34"/>
  <c r="D49" i="34"/>
  <c r="C49" i="34"/>
  <c r="B49" i="34"/>
  <c r="A49" i="34"/>
  <c r="P48" i="34"/>
  <c r="O48" i="34"/>
  <c r="N48" i="34"/>
  <c r="M48" i="34"/>
  <c r="L48" i="34"/>
  <c r="K48" i="34"/>
  <c r="J48" i="34"/>
  <c r="H48" i="34"/>
  <c r="F48" i="34"/>
  <c r="E48" i="34"/>
  <c r="D48" i="34"/>
  <c r="C48" i="34"/>
  <c r="B48" i="34"/>
  <c r="A48" i="34"/>
  <c r="P47" i="34"/>
  <c r="O47" i="34"/>
  <c r="N47" i="34"/>
  <c r="M47" i="34"/>
  <c r="L47" i="34"/>
  <c r="K47" i="34"/>
  <c r="J47" i="34"/>
  <c r="H47" i="34"/>
  <c r="F47" i="34"/>
  <c r="E47" i="34"/>
  <c r="D47" i="34"/>
  <c r="C47" i="34"/>
  <c r="B47" i="34"/>
  <c r="A47" i="34"/>
  <c r="P46" i="34"/>
  <c r="O46" i="34"/>
  <c r="N46" i="34"/>
  <c r="M46" i="34"/>
  <c r="L46" i="34"/>
  <c r="K46" i="34"/>
  <c r="J46" i="34"/>
  <c r="H46" i="34"/>
  <c r="F46" i="34"/>
  <c r="E46" i="34"/>
  <c r="D46" i="34"/>
  <c r="C46" i="34"/>
  <c r="B46" i="34"/>
  <c r="A46" i="34"/>
  <c r="P45" i="34"/>
  <c r="O45" i="34"/>
  <c r="N45" i="34"/>
  <c r="M45" i="34"/>
  <c r="L45" i="34"/>
  <c r="K45" i="34"/>
  <c r="J45" i="34"/>
  <c r="H45" i="34"/>
  <c r="F45" i="34"/>
  <c r="E45" i="34"/>
  <c r="D45" i="34"/>
  <c r="C45" i="34"/>
  <c r="B45" i="34"/>
  <c r="A45" i="34"/>
  <c r="P44" i="34"/>
  <c r="J44" i="34"/>
  <c r="H44" i="34"/>
  <c r="F44" i="34"/>
  <c r="E44" i="34"/>
  <c r="D44" i="34"/>
  <c r="C44" i="34"/>
  <c r="B44" i="34"/>
  <c r="A44" i="34"/>
  <c r="P43" i="34"/>
  <c r="J43" i="34"/>
  <c r="H43" i="34"/>
  <c r="F43" i="34"/>
  <c r="E43" i="34"/>
  <c r="D43" i="34"/>
  <c r="C43" i="34"/>
  <c r="B43" i="34"/>
  <c r="A43" i="34"/>
  <c r="P42" i="34"/>
  <c r="O42" i="34"/>
  <c r="N42" i="34"/>
  <c r="M42" i="34"/>
  <c r="L42" i="34"/>
  <c r="K42" i="34"/>
  <c r="J42" i="34"/>
  <c r="H42" i="34"/>
  <c r="F42" i="34"/>
  <c r="E42" i="34"/>
  <c r="D42" i="34"/>
  <c r="C42" i="34"/>
  <c r="B42" i="34"/>
  <c r="A42" i="34"/>
  <c r="O41" i="34"/>
  <c r="N41" i="34"/>
  <c r="M41" i="34"/>
  <c r="L41" i="34"/>
  <c r="K41" i="34"/>
  <c r="J41" i="34"/>
  <c r="I41" i="34"/>
  <c r="H41" i="34"/>
  <c r="F41" i="34"/>
  <c r="E41" i="34"/>
  <c r="D41" i="34"/>
  <c r="C41" i="34"/>
  <c r="B41" i="34"/>
  <c r="A41" i="34"/>
  <c r="J40" i="34"/>
  <c r="I40" i="34"/>
  <c r="H40" i="34"/>
  <c r="F40" i="34"/>
  <c r="E40" i="34"/>
  <c r="D40" i="34"/>
  <c r="C40" i="34"/>
  <c r="B40" i="34"/>
  <c r="A40" i="34"/>
  <c r="P39" i="34"/>
  <c r="O39" i="34"/>
  <c r="N39" i="34"/>
  <c r="M39" i="34"/>
  <c r="L39" i="34"/>
  <c r="K39" i="34"/>
  <c r="J39" i="34"/>
  <c r="I39" i="34"/>
  <c r="H39" i="34"/>
  <c r="F39" i="34"/>
  <c r="E39" i="34"/>
  <c r="D39" i="34"/>
  <c r="C39" i="34"/>
  <c r="B39" i="34"/>
  <c r="A39" i="34"/>
  <c r="P38" i="34"/>
  <c r="O38" i="34"/>
  <c r="N38" i="34"/>
  <c r="M38" i="34"/>
  <c r="L38" i="34"/>
  <c r="K38" i="34"/>
  <c r="J38" i="34"/>
  <c r="I38" i="34"/>
  <c r="H38" i="34"/>
  <c r="F38" i="34"/>
  <c r="E38" i="34"/>
  <c r="D38" i="34"/>
  <c r="C38" i="34"/>
  <c r="B38" i="34"/>
  <c r="A38" i="34"/>
  <c r="P37" i="34"/>
  <c r="O37" i="34"/>
  <c r="N37" i="34"/>
  <c r="M37" i="34"/>
  <c r="L37" i="34"/>
  <c r="K37" i="34"/>
  <c r="J37" i="34"/>
  <c r="I37" i="34"/>
  <c r="H37" i="34"/>
  <c r="F37" i="34"/>
  <c r="E37" i="34"/>
  <c r="D37" i="34"/>
  <c r="C37" i="34"/>
  <c r="B37" i="34"/>
  <c r="A37" i="34"/>
  <c r="P36" i="34"/>
  <c r="O36" i="34"/>
  <c r="N36" i="34"/>
  <c r="M36" i="34"/>
  <c r="L36" i="34"/>
  <c r="K36" i="34"/>
  <c r="J36" i="34"/>
  <c r="I36" i="34"/>
  <c r="H36" i="34"/>
  <c r="F36" i="34"/>
  <c r="E36" i="34"/>
  <c r="D36" i="34"/>
  <c r="C36" i="34"/>
  <c r="B36" i="34"/>
  <c r="A36" i="34"/>
  <c r="P35" i="34"/>
  <c r="O35" i="34"/>
  <c r="N35" i="34"/>
  <c r="M35" i="34"/>
  <c r="L35" i="34"/>
  <c r="K35" i="34"/>
  <c r="J35" i="34"/>
  <c r="I35" i="34"/>
  <c r="H35" i="34"/>
  <c r="F35" i="34"/>
  <c r="E35" i="34"/>
  <c r="D35" i="34"/>
  <c r="C35" i="34"/>
  <c r="B35" i="34"/>
  <c r="A35" i="34"/>
  <c r="O34" i="34"/>
  <c r="N34" i="34"/>
  <c r="M34" i="34"/>
  <c r="L34" i="34"/>
  <c r="K34" i="34"/>
  <c r="J34" i="34"/>
  <c r="I34" i="34"/>
  <c r="H34" i="34"/>
  <c r="F34" i="34"/>
  <c r="E34" i="34"/>
  <c r="D34" i="34"/>
  <c r="C34" i="34"/>
  <c r="B34" i="34"/>
  <c r="A34" i="34"/>
  <c r="O33" i="34"/>
  <c r="N33" i="34"/>
  <c r="M33" i="34"/>
  <c r="L33" i="34"/>
  <c r="K33" i="34"/>
  <c r="J33" i="34"/>
  <c r="I33" i="34"/>
  <c r="H33" i="34"/>
  <c r="F33" i="34"/>
  <c r="E33" i="34"/>
  <c r="D33" i="34"/>
  <c r="C33" i="34"/>
  <c r="B33" i="34"/>
  <c r="A33" i="34"/>
  <c r="P32" i="34"/>
  <c r="O32" i="34"/>
  <c r="N32" i="34"/>
  <c r="M32" i="34"/>
  <c r="L32" i="34"/>
  <c r="K32" i="34"/>
  <c r="J32" i="34"/>
  <c r="I32" i="34"/>
  <c r="H32" i="34"/>
  <c r="F32" i="34"/>
  <c r="E32" i="34"/>
  <c r="D32" i="34"/>
  <c r="C32" i="34"/>
  <c r="B32" i="34"/>
  <c r="A32" i="34"/>
  <c r="O31" i="34"/>
  <c r="N31" i="34"/>
  <c r="M31" i="34"/>
  <c r="L31" i="34"/>
  <c r="K31" i="34"/>
  <c r="J31" i="34"/>
  <c r="I31" i="34"/>
  <c r="H31" i="34"/>
  <c r="F31" i="34"/>
  <c r="E31" i="34"/>
  <c r="D31" i="34"/>
  <c r="C31" i="34"/>
  <c r="B31" i="34"/>
  <c r="A31" i="34"/>
  <c r="N30" i="34"/>
  <c r="M30" i="34"/>
  <c r="K30" i="34"/>
  <c r="I30" i="34"/>
  <c r="F30" i="34"/>
  <c r="E30" i="34"/>
  <c r="D30" i="34"/>
  <c r="C30" i="34"/>
  <c r="B30" i="34"/>
  <c r="N29" i="34"/>
  <c r="M29" i="34"/>
  <c r="K29" i="34"/>
  <c r="I29" i="34"/>
  <c r="F29" i="34"/>
  <c r="E29" i="34"/>
  <c r="D29" i="34"/>
  <c r="C29" i="34"/>
  <c r="B29" i="34"/>
  <c r="N28" i="34"/>
  <c r="K28" i="34"/>
  <c r="I28" i="34"/>
  <c r="F28" i="34"/>
  <c r="E28" i="34"/>
  <c r="D28" i="34"/>
  <c r="C28" i="34"/>
  <c r="B28" i="34"/>
  <c r="O27" i="34"/>
  <c r="N27" i="34"/>
  <c r="M27" i="34"/>
  <c r="L27" i="34"/>
  <c r="K27" i="34"/>
  <c r="I27" i="34"/>
  <c r="H27" i="34"/>
  <c r="F27" i="34"/>
  <c r="E27" i="34"/>
  <c r="D27" i="34"/>
  <c r="B27" i="34"/>
  <c r="A27" i="34"/>
  <c r="P26" i="34"/>
  <c r="K26" i="34"/>
  <c r="I26" i="34"/>
  <c r="H26" i="34"/>
  <c r="F26" i="34"/>
  <c r="E26" i="34"/>
  <c r="D26" i="34"/>
  <c r="B26" i="34"/>
  <c r="A26" i="34"/>
  <c r="O25" i="34"/>
  <c r="N25" i="34"/>
  <c r="M25" i="34"/>
  <c r="L25" i="34"/>
  <c r="K25" i="34"/>
  <c r="I25" i="34"/>
  <c r="H25" i="34"/>
  <c r="F25" i="34"/>
  <c r="E25" i="34"/>
  <c r="D25" i="34"/>
  <c r="B25" i="34"/>
  <c r="A25" i="34"/>
  <c r="O24" i="34"/>
  <c r="N24" i="34"/>
  <c r="M24" i="34"/>
  <c r="L24" i="34"/>
  <c r="K24" i="34"/>
  <c r="I24" i="34"/>
  <c r="H24" i="34"/>
  <c r="F24" i="34"/>
  <c r="E24" i="34"/>
  <c r="D24" i="34"/>
  <c r="B24" i="34"/>
  <c r="A24" i="34"/>
  <c r="O23" i="34"/>
  <c r="N23" i="34"/>
  <c r="M23" i="34"/>
  <c r="L23" i="34"/>
  <c r="K23" i="34"/>
  <c r="J23" i="34"/>
  <c r="I23" i="34"/>
  <c r="H23" i="34"/>
  <c r="F23" i="34"/>
  <c r="E23" i="34"/>
  <c r="D23" i="34"/>
  <c r="C23" i="34"/>
  <c r="B23" i="34"/>
  <c r="A23" i="34"/>
  <c r="O22" i="34"/>
  <c r="N22" i="34"/>
  <c r="M22" i="34"/>
  <c r="L22" i="34"/>
  <c r="K22" i="34"/>
  <c r="J22" i="34"/>
  <c r="I22" i="34"/>
  <c r="H22" i="34"/>
  <c r="F22" i="34"/>
  <c r="E22" i="34"/>
  <c r="D22" i="34"/>
  <c r="C22" i="34"/>
  <c r="B22" i="34"/>
  <c r="A22" i="34"/>
  <c r="I21" i="34"/>
  <c r="H21" i="34"/>
  <c r="F21" i="34"/>
  <c r="E21" i="34"/>
  <c r="D21" i="34"/>
  <c r="C21" i="34"/>
  <c r="B21" i="34"/>
  <c r="A21" i="34"/>
  <c r="P20" i="34"/>
  <c r="I20" i="34"/>
  <c r="H20" i="34"/>
  <c r="F20" i="34"/>
  <c r="E20" i="34"/>
  <c r="D20" i="34"/>
  <c r="C20" i="34"/>
  <c r="B20" i="34"/>
  <c r="A20" i="34"/>
  <c r="P19" i="34"/>
  <c r="I19" i="34"/>
  <c r="H19" i="34"/>
  <c r="F19" i="34"/>
  <c r="E19" i="34"/>
  <c r="D19" i="34"/>
  <c r="C19" i="34"/>
  <c r="B19" i="34"/>
  <c r="A19" i="34"/>
  <c r="O18" i="34"/>
  <c r="N18" i="34"/>
  <c r="M18" i="34"/>
  <c r="L18" i="34"/>
  <c r="K18" i="34"/>
  <c r="J18" i="34"/>
  <c r="I18" i="34"/>
  <c r="H18" i="34"/>
  <c r="F18" i="34"/>
  <c r="E18" i="34"/>
  <c r="D18" i="34"/>
  <c r="C18" i="34"/>
  <c r="B18" i="34"/>
  <c r="A18" i="34"/>
  <c r="O17" i="34"/>
  <c r="N17" i="34"/>
  <c r="M17" i="34"/>
  <c r="L17" i="34"/>
  <c r="K17" i="34"/>
  <c r="J17" i="34"/>
  <c r="I17" i="34"/>
  <c r="H17" i="34"/>
  <c r="F17" i="34"/>
  <c r="E17" i="34"/>
  <c r="D17" i="34"/>
  <c r="C17" i="34"/>
  <c r="B17" i="34"/>
  <c r="A17" i="34"/>
  <c r="P16" i="34"/>
  <c r="O16" i="34"/>
  <c r="N16" i="34"/>
  <c r="M16" i="34"/>
  <c r="L16" i="34"/>
  <c r="K16" i="34"/>
  <c r="J16" i="34"/>
  <c r="I16" i="34"/>
  <c r="H16" i="34"/>
  <c r="F16" i="34"/>
  <c r="E16" i="34"/>
  <c r="D16" i="34"/>
  <c r="C16" i="34"/>
  <c r="B16" i="34"/>
  <c r="A16" i="34"/>
  <c r="O15" i="34"/>
  <c r="N15" i="34"/>
  <c r="M15" i="34"/>
  <c r="L15" i="34"/>
  <c r="K15" i="34"/>
  <c r="J15" i="34"/>
  <c r="I15" i="34"/>
  <c r="H15" i="34"/>
  <c r="F15" i="34"/>
  <c r="E15" i="34"/>
  <c r="D15" i="34"/>
  <c r="C15" i="34"/>
  <c r="B15" i="34"/>
  <c r="A15" i="34"/>
  <c r="P14" i="34"/>
  <c r="O14" i="34"/>
  <c r="N14" i="34"/>
  <c r="M14" i="34"/>
  <c r="L14" i="34"/>
  <c r="K14" i="34"/>
  <c r="J14" i="34"/>
  <c r="I14" i="34"/>
  <c r="H14" i="34"/>
  <c r="F14" i="34"/>
  <c r="E14" i="34"/>
  <c r="D14" i="34"/>
  <c r="C14" i="34"/>
  <c r="B14" i="34"/>
  <c r="A14" i="34"/>
  <c r="P13" i="34"/>
  <c r="O13" i="34"/>
  <c r="N13" i="34"/>
  <c r="M13" i="34"/>
  <c r="L13" i="34"/>
  <c r="K13" i="34"/>
  <c r="J13" i="34"/>
  <c r="I13" i="34"/>
  <c r="H13" i="34"/>
  <c r="F13" i="34"/>
  <c r="E13" i="34"/>
  <c r="D13" i="34"/>
  <c r="C13" i="34"/>
  <c r="B13" i="34"/>
  <c r="A13" i="34"/>
  <c r="O12" i="34"/>
  <c r="N12" i="34"/>
  <c r="M12" i="34"/>
  <c r="L12" i="34"/>
  <c r="K12" i="34"/>
  <c r="J12" i="34"/>
  <c r="I12" i="34"/>
  <c r="H12" i="34"/>
  <c r="F12" i="34"/>
  <c r="E12" i="34"/>
  <c r="D12" i="34"/>
  <c r="B12" i="34"/>
  <c r="A12" i="34"/>
  <c r="J11" i="34"/>
  <c r="I11" i="34"/>
  <c r="H11" i="34"/>
  <c r="G11" i="34"/>
  <c r="F11" i="34"/>
  <c r="E11" i="34"/>
  <c r="D11" i="34"/>
  <c r="B11" i="34"/>
  <c r="A11" i="34"/>
  <c r="P10" i="34"/>
  <c r="O10" i="34"/>
  <c r="N10" i="34"/>
  <c r="M10" i="34"/>
  <c r="L10" i="34"/>
  <c r="K10" i="34"/>
  <c r="J10" i="34"/>
  <c r="I10" i="34"/>
  <c r="H10" i="34"/>
  <c r="F10" i="34"/>
  <c r="E10" i="34"/>
  <c r="D10" i="34"/>
  <c r="B10" i="34"/>
  <c r="A10" i="34"/>
  <c r="O9" i="34"/>
  <c r="N9" i="34"/>
  <c r="M9" i="34"/>
  <c r="L9" i="34"/>
  <c r="K9" i="34"/>
  <c r="J9" i="34"/>
  <c r="I9" i="34"/>
  <c r="H9" i="34"/>
  <c r="F9" i="34"/>
  <c r="E9" i="34"/>
  <c r="D9" i="34"/>
  <c r="B9" i="34"/>
  <c r="A9" i="34"/>
  <c r="O8" i="34"/>
  <c r="N8" i="34"/>
  <c r="M8" i="34"/>
  <c r="L8" i="34"/>
  <c r="K8" i="34"/>
  <c r="J8" i="34"/>
  <c r="I8" i="34"/>
  <c r="H8" i="34"/>
  <c r="F8" i="34"/>
  <c r="E8" i="34"/>
  <c r="D8" i="34"/>
  <c r="B8" i="34"/>
  <c r="A8" i="34"/>
  <c r="O7" i="34"/>
  <c r="N7" i="34"/>
  <c r="M7" i="34"/>
  <c r="L7" i="34"/>
  <c r="K7" i="34"/>
  <c r="J7" i="34"/>
  <c r="I7" i="34"/>
  <c r="H7" i="34"/>
  <c r="F7" i="34"/>
  <c r="E7" i="34"/>
  <c r="D7" i="34"/>
  <c r="B7" i="34"/>
  <c r="A7" i="34"/>
  <c r="P6" i="34"/>
  <c r="O6" i="34"/>
  <c r="N6" i="34"/>
  <c r="M6" i="34"/>
  <c r="L6" i="34"/>
  <c r="K6" i="34"/>
  <c r="J6" i="34"/>
  <c r="I6" i="34"/>
  <c r="H6" i="34"/>
  <c r="G6" i="34"/>
  <c r="F6" i="34"/>
  <c r="E6" i="34"/>
  <c r="D6" i="34"/>
  <c r="C6" i="34"/>
  <c r="B6" i="34"/>
  <c r="A5" i="34"/>
  <c r="A1" i="37" l="1"/>
  <c r="A2" i="37"/>
  <c r="B2" i="37"/>
  <c r="C2" i="37"/>
  <c r="D2" i="37"/>
  <c r="E2" i="37"/>
  <c r="F2" i="37"/>
  <c r="G2" i="37"/>
  <c r="K2" i="37"/>
  <c r="L2" i="37"/>
  <c r="M2" i="37"/>
  <c r="N2" i="37"/>
  <c r="O2" i="37"/>
  <c r="P2" i="37"/>
  <c r="Q2" i="37"/>
  <c r="R2" i="37"/>
  <c r="S2" i="37"/>
  <c r="A3" i="37"/>
  <c r="B3" i="37"/>
  <c r="D3" i="37"/>
  <c r="E3" i="37"/>
  <c r="F3" i="37"/>
  <c r="K3" i="37"/>
  <c r="L3" i="37"/>
  <c r="M3" i="37"/>
  <c r="N3" i="37"/>
  <c r="O3" i="37"/>
  <c r="P3" i="37"/>
  <c r="Q3" i="37"/>
  <c r="R3" i="37"/>
  <c r="A4" i="37"/>
  <c r="B4" i="37"/>
  <c r="D4" i="37"/>
  <c r="E4" i="37"/>
  <c r="F4" i="37"/>
  <c r="K4" i="37"/>
  <c r="L4" i="37"/>
  <c r="M4" i="37"/>
  <c r="N4" i="37"/>
  <c r="O4" i="37"/>
  <c r="P4" i="37"/>
  <c r="Q4" i="37"/>
  <c r="R4" i="37"/>
  <c r="A5" i="37"/>
  <c r="B5" i="37"/>
  <c r="D5" i="37"/>
  <c r="E5" i="37"/>
  <c r="F5" i="37"/>
  <c r="K5" i="37"/>
  <c r="L5" i="37"/>
  <c r="M5" i="37"/>
  <c r="N5" i="37"/>
  <c r="O5" i="37"/>
  <c r="P5" i="37"/>
  <c r="Q5" i="37"/>
  <c r="R5" i="37"/>
  <c r="A6" i="37"/>
  <c r="B6" i="37"/>
  <c r="D6" i="37"/>
  <c r="E6" i="37"/>
  <c r="F6" i="37"/>
  <c r="K6" i="37"/>
  <c r="L6" i="37"/>
  <c r="M6" i="37"/>
  <c r="N6" i="37"/>
  <c r="O6" i="37"/>
  <c r="P6" i="37"/>
  <c r="Q6" i="37"/>
  <c r="R6" i="37"/>
  <c r="S6" i="37"/>
  <c r="A7" i="37"/>
  <c r="B7" i="37"/>
  <c r="D7" i="37"/>
  <c r="E7" i="37"/>
  <c r="F7" i="37"/>
  <c r="G7" i="37"/>
  <c r="K7" i="37"/>
  <c r="L7" i="37"/>
  <c r="M7" i="37"/>
  <c r="A8" i="37"/>
  <c r="B8" i="37"/>
  <c r="D8" i="37"/>
  <c r="E8" i="37"/>
  <c r="F8" i="37"/>
  <c r="K8" i="37"/>
  <c r="L8" i="37"/>
  <c r="M8" i="37"/>
  <c r="N8" i="37"/>
  <c r="O8" i="37"/>
  <c r="P8" i="37"/>
  <c r="Q8" i="37"/>
  <c r="R8" i="37"/>
  <c r="A9" i="37"/>
  <c r="B9" i="37"/>
  <c r="C9" i="37"/>
  <c r="D9" i="37"/>
  <c r="E9" i="37"/>
  <c r="F9" i="37"/>
  <c r="K9" i="37"/>
  <c r="L9" i="37"/>
  <c r="M9" i="37"/>
  <c r="N9" i="37"/>
  <c r="O9" i="37"/>
  <c r="P9" i="37"/>
  <c r="Q9" i="37"/>
  <c r="R9" i="37"/>
  <c r="S9" i="37"/>
  <c r="A10" i="37"/>
  <c r="B10" i="37"/>
  <c r="C10" i="37"/>
  <c r="D10" i="37"/>
  <c r="E10" i="37"/>
  <c r="F10" i="37"/>
  <c r="K10" i="37"/>
  <c r="L10" i="37"/>
  <c r="M10" i="37"/>
  <c r="N10" i="37"/>
  <c r="O10" i="37"/>
  <c r="P10" i="37"/>
  <c r="Q10" i="37"/>
  <c r="R10" i="37"/>
  <c r="S10" i="37"/>
  <c r="A11" i="37"/>
  <c r="B11" i="37"/>
  <c r="C11" i="37"/>
  <c r="D11" i="37"/>
  <c r="E11" i="37"/>
  <c r="F11" i="37"/>
  <c r="K11" i="37"/>
  <c r="L11" i="37"/>
  <c r="M11" i="37"/>
  <c r="N11" i="37"/>
  <c r="O11" i="37"/>
  <c r="P11" i="37"/>
  <c r="Q11" i="37"/>
  <c r="R11" i="37"/>
  <c r="A12" i="37"/>
  <c r="B12" i="37"/>
  <c r="C12" i="37"/>
  <c r="D12" i="37"/>
  <c r="E12" i="37"/>
  <c r="F12" i="37"/>
  <c r="K12" i="37"/>
  <c r="L12" i="37"/>
  <c r="M12" i="37"/>
  <c r="N12" i="37"/>
  <c r="O12" i="37"/>
  <c r="P12" i="37"/>
  <c r="Q12" i="37"/>
  <c r="R12" i="37"/>
  <c r="S12" i="37"/>
  <c r="A13" i="37"/>
  <c r="B13" i="37"/>
  <c r="C13" i="37"/>
  <c r="D13" i="37"/>
  <c r="E13" i="37"/>
  <c r="F13" i="37"/>
  <c r="K13" i="37"/>
  <c r="L13" i="37"/>
  <c r="M13" i="37"/>
  <c r="N13" i="37"/>
  <c r="O13" i="37"/>
  <c r="P13" i="37"/>
  <c r="Q13" i="37"/>
  <c r="R13" i="37"/>
  <c r="A14" i="37"/>
  <c r="B14" i="37"/>
  <c r="C14" i="37"/>
  <c r="D14" i="37"/>
  <c r="E14" i="37"/>
  <c r="F14" i="37"/>
  <c r="K14" i="37"/>
  <c r="L14" i="37"/>
  <c r="M14" i="37"/>
  <c r="N14" i="37"/>
  <c r="O14" i="37"/>
  <c r="P14" i="37"/>
  <c r="Q14" i="37"/>
  <c r="R14" i="37"/>
  <c r="A15" i="37"/>
  <c r="B15" i="37"/>
  <c r="C15" i="37"/>
  <c r="D15" i="37"/>
  <c r="E15" i="37"/>
  <c r="F15" i="37"/>
  <c r="K15" i="37"/>
  <c r="L15" i="37"/>
  <c r="S15" i="37"/>
  <c r="A16" i="37"/>
  <c r="B16" i="37"/>
  <c r="C16" i="37"/>
  <c r="D16" i="37"/>
  <c r="E16" i="37"/>
  <c r="F16" i="37"/>
  <c r="K16" i="37"/>
  <c r="L16" i="37"/>
  <c r="S16" i="37"/>
  <c r="A17" i="37"/>
  <c r="B17" i="37"/>
  <c r="C17" i="37"/>
  <c r="D17" i="37"/>
  <c r="E17" i="37"/>
  <c r="F17" i="37"/>
  <c r="K17" i="37"/>
  <c r="L17" i="37"/>
  <c r="A18" i="37"/>
  <c r="B18" i="37"/>
  <c r="C18" i="37"/>
  <c r="D18" i="37"/>
  <c r="E18" i="37"/>
  <c r="F18" i="37"/>
  <c r="K18" i="37"/>
  <c r="L18" i="37"/>
  <c r="M18" i="37"/>
  <c r="N18" i="37"/>
  <c r="O18" i="37"/>
  <c r="P18" i="37"/>
  <c r="Q18" i="37"/>
  <c r="R18" i="37"/>
  <c r="A19" i="37"/>
  <c r="B19" i="37"/>
  <c r="C19" i="37"/>
  <c r="D19" i="37"/>
  <c r="E19" i="37"/>
  <c r="F19" i="37"/>
  <c r="K19" i="37"/>
  <c r="L19" i="37"/>
  <c r="M19" i="37"/>
  <c r="N19" i="37"/>
  <c r="O19" i="37"/>
  <c r="P19" i="37"/>
  <c r="Q19" i="37"/>
  <c r="R19" i="37"/>
  <c r="A20" i="37"/>
  <c r="B20" i="37"/>
  <c r="D20" i="37"/>
  <c r="E20" i="37"/>
  <c r="F20" i="37"/>
  <c r="K20" i="37"/>
  <c r="L20" i="37"/>
  <c r="N20" i="37"/>
  <c r="O20" i="37"/>
  <c r="P20" i="37"/>
  <c r="Q20" i="37"/>
  <c r="R20" i="37"/>
  <c r="A21" i="37"/>
  <c r="B21" i="37"/>
  <c r="D21" i="37"/>
  <c r="E21" i="37"/>
  <c r="F21" i="37"/>
  <c r="K21" i="37"/>
  <c r="L21" i="37"/>
  <c r="N21" i="37"/>
  <c r="O21" i="37"/>
  <c r="P21" i="37"/>
  <c r="Q21" i="37"/>
  <c r="R21" i="37"/>
  <c r="A22" i="37"/>
  <c r="B22" i="37"/>
  <c r="D22" i="37"/>
  <c r="E22" i="37"/>
  <c r="F22" i="37"/>
  <c r="K22" i="37"/>
  <c r="L22" i="37"/>
  <c r="N22" i="37"/>
  <c r="S22" i="37"/>
  <c r="A23" i="37"/>
  <c r="B23" i="37"/>
  <c r="D23" i="37"/>
  <c r="E23" i="37"/>
  <c r="F23" i="37"/>
  <c r="K23" i="37"/>
  <c r="L23" i="37"/>
  <c r="N23" i="37"/>
  <c r="O23" i="37"/>
  <c r="P23" i="37"/>
  <c r="Q23" i="37"/>
  <c r="R23" i="37"/>
  <c r="B24" i="37"/>
  <c r="C24" i="37"/>
  <c r="D24" i="37"/>
  <c r="E24" i="37"/>
  <c r="F24" i="37"/>
  <c r="L24" i="37"/>
  <c r="N24" i="37"/>
  <c r="Q24" i="37"/>
  <c r="B25" i="37"/>
  <c r="C25" i="37"/>
  <c r="D25" i="37"/>
  <c r="E25" i="37"/>
  <c r="F25" i="37"/>
  <c r="L25" i="37"/>
  <c r="N25" i="37"/>
  <c r="P25" i="37"/>
  <c r="Q25" i="37"/>
  <c r="B26" i="37"/>
  <c r="C26" i="37"/>
  <c r="D26" i="37"/>
  <c r="E26" i="37"/>
  <c r="F26" i="37"/>
  <c r="L26" i="37"/>
  <c r="N26" i="37"/>
  <c r="P26" i="37"/>
  <c r="Q26" i="37"/>
  <c r="A27" i="37"/>
  <c r="B27" i="37"/>
  <c r="C27" i="37"/>
  <c r="D27" i="37"/>
  <c r="E27" i="37"/>
  <c r="F27" i="37"/>
  <c r="K27" i="37"/>
  <c r="L27" i="37"/>
  <c r="M27" i="37"/>
  <c r="N27" i="37"/>
  <c r="O27" i="37"/>
  <c r="P27" i="37"/>
  <c r="Q27" i="37"/>
  <c r="R27" i="37"/>
  <c r="A28" i="37"/>
  <c r="B28" i="37"/>
  <c r="C28" i="37"/>
  <c r="D28" i="37"/>
  <c r="E28" i="37"/>
  <c r="F28" i="37"/>
  <c r="K28" i="37"/>
  <c r="L28" i="37"/>
  <c r="M28" i="37"/>
  <c r="N28" i="37"/>
  <c r="O28" i="37"/>
  <c r="P28" i="37"/>
  <c r="Q28" i="37"/>
  <c r="R28" i="37"/>
  <c r="S28" i="37"/>
  <c r="A29" i="37"/>
  <c r="B29" i="37"/>
  <c r="C29" i="37"/>
  <c r="D29" i="37"/>
  <c r="E29" i="37"/>
  <c r="F29" i="37"/>
  <c r="K29" i="37"/>
  <c r="L29" i="37"/>
  <c r="M29" i="37"/>
  <c r="N29" i="37"/>
  <c r="O29" i="37"/>
  <c r="P29" i="37"/>
  <c r="Q29" i="37"/>
  <c r="R29" i="37"/>
  <c r="A30" i="37"/>
  <c r="B30" i="37"/>
  <c r="C30" i="37"/>
  <c r="D30" i="37"/>
  <c r="E30" i="37"/>
  <c r="F30" i="37"/>
  <c r="K30" i="37"/>
  <c r="L30" i="37"/>
  <c r="M30" i="37"/>
  <c r="N30" i="37"/>
  <c r="O30" i="37"/>
  <c r="P30" i="37"/>
  <c r="Q30" i="37"/>
  <c r="R30" i="37"/>
  <c r="A31" i="37"/>
  <c r="B31" i="37"/>
  <c r="C31" i="37"/>
  <c r="D31" i="37"/>
  <c r="E31" i="37"/>
  <c r="F31" i="37"/>
  <c r="K31" i="37"/>
  <c r="L31" i="37"/>
  <c r="M31" i="37"/>
  <c r="N31" i="37"/>
  <c r="O31" i="37"/>
  <c r="P31" i="37"/>
  <c r="Q31" i="37"/>
  <c r="R31" i="37"/>
  <c r="S31" i="37"/>
  <c r="A32" i="37"/>
  <c r="B32" i="37"/>
  <c r="C32" i="37"/>
  <c r="D32" i="37"/>
  <c r="E32" i="37"/>
  <c r="F32" i="37"/>
  <c r="K32" i="37"/>
  <c r="L32" i="37"/>
  <c r="M32" i="37"/>
  <c r="N32" i="37"/>
  <c r="O32" i="37"/>
  <c r="P32" i="37"/>
  <c r="Q32" i="37"/>
  <c r="R32" i="37"/>
  <c r="S32" i="37"/>
  <c r="A33" i="37"/>
  <c r="B33" i="37"/>
  <c r="C33" i="37"/>
  <c r="D33" i="37"/>
  <c r="E33" i="37"/>
  <c r="F33" i="37"/>
  <c r="K33" i="37"/>
  <c r="L33" i="37"/>
  <c r="M33" i="37"/>
  <c r="N33" i="37"/>
  <c r="O33" i="37"/>
  <c r="P33" i="37"/>
  <c r="Q33" i="37"/>
  <c r="R33" i="37"/>
  <c r="S33" i="37"/>
  <c r="A34" i="37"/>
  <c r="B34" i="37"/>
  <c r="C34" i="37"/>
  <c r="D34" i="37"/>
  <c r="E34" i="37"/>
  <c r="F34" i="37"/>
  <c r="K34" i="37"/>
  <c r="L34" i="37"/>
  <c r="M34" i="37"/>
  <c r="N34" i="37"/>
  <c r="O34" i="37"/>
  <c r="P34" i="37"/>
  <c r="Q34" i="37"/>
  <c r="R34" i="37"/>
  <c r="S34" i="37"/>
  <c r="A35" i="37"/>
  <c r="B35" i="37"/>
  <c r="C35" i="37"/>
  <c r="D35" i="37"/>
  <c r="E35" i="37"/>
  <c r="F35" i="37"/>
  <c r="K35" i="37"/>
  <c r="L35" i="37"/>
  <c r="M35" i="37"/>
  <c r="N35" i="37"/>
  <c r="O35" i="37"/>
  <c r="P35" i="37"/>
  <c r="Q35" i="37"/>
  <c r="R35" i="37"/>
  <c r="S35" i="37"/>
  <c r="A36" i="37"/>
  <c r="B36" i="37"/>
  <c r="C36" i="37"/>
  <c r="D36" i="37"/>
  <c r="E36" i="37"/>
  <c r="F36" i="37"/>
  <c r="K36" i="37"/>
  <c r="L36" i="37"/>
  <c r="M36" i="37"/>
  <c r="A37" i="37"/>
  <c r="B37" i="37"/>
  <c r="C37" i="37"/>
  <c r="D37" i="37"/>
  <c r="E37" i="37"/>
  <c r="F37" i="37"/>
  <c r="K37" i="37"/>
  <c r="L37" i="37"/>
  <c r="M37" i="37"/>
  <c r="N37" i="37"/>
  <c r="O37" i="37"/>
  <c r="P37" i="37"/>
  <c r="Q37" i="37"/>
  <c r="R37" i="37"/>
  <c r="A38" i="37"/>
  <c r="B38" i="37"/>
  <c r="C38" i="37"/>
  <c r="D38" i="37"/>
  <c r="E38" i="37"/>
  <c r="F38" i="37"/>
  <c r="K38" i="37"/>
  <c r="M38" i="37"/>
  <c r="N38" i="37"/>
  <c r="O38" i="37"/>
  <c r="P38" i="37"/>
  <c r="Q38" i="37"/>
  <c r="R38" i="37"/>
  <c r="S38" i="37"/>
  <c r="A39" i="37"/>
  <c r="B39" i="37"/>
  <c r="C39" i="37"/>
  <c r="D39" i="37"/>
  <c r="E39" i="37"/>
  <c r="F39" i="37"/>
  <c r="K39" i="37"/>
  <c r="M39" i="37"/>
  <c r="S39" i="37"/>
  <c r="A40" i="37"/>
  <c r="B40" i="37"/>
  <c r="C40" i="37"/>
  <c r="D40" i="37"/>
  <c r="E40" i="37"/>
  <c r="F40" i="37"/>
  <c r="K40" i="37"/>
  <c r="M40" i="37"/>
  <c r="S40" i="37"/>
  <c r="A41" i="37"/>
  <c r="B41" i="37"/>
  <c r="C41" i="37"/>
  <c r="D41" i="37"/>
  <c r="E41" i="37"/>
  <c r="F41" i="37"/>
  <c r="K41" i="37"/>
  <c r="M41" i="37"/>
  <c r="N41" i="37"/>
  <c r="O41" i="37"/>
  <c r="P41" i="37"/>
  <c r="Q41" i="37"/>
  <c r="R41" i="37"/>
  <c r="S41" i="37"/>
  <c r="A42" i="37"/>
  <c r="B42" i="37"/>
  <c r="C42" i="37"/>
  <c r="D42" i="37"/>
  <c r="E42" i="37"/>
  <c r="F42" i="37"/>
  <c r="K42" i="37"/>
  <c r="M42" i="37"/>
  <c r="N42" i="37"/>
  <c r="O42" i="37"/>
  <c r="P42" i="37"/>
  <c r="Q42" i="37"/>
  <c r="R42" i="37"/>
  <c r="S42" i="37"/>
  <c r="A43" i="37"/>
  <c r="B43" i="37"/>
  <c r="C43" i="37"/>
  <c r="D43" i="37"/>
  <c r="E43" i="37"/>
  <c r="F43" i="37"/>
  <c r="K43" i="37"/>
  <c r="M43" i="37"/>
  <c r="N43" i="37"/>
  <c r="O43" i="37"/>
  <c r="P43" i="37"/>
  <c r="Q43" i="37"/>
  <c r="R43" i="37"/>
  <c r="S43" i="37"/>
  <c r="A44" i="37"/>
  <c r="B44" i="37"/>
  <c r="C44" i="37"/>
  <c r="D44" i="37"/>
  <c r="E44" i="37"/>
  <c r="F44" i="37"/>
  <c r="K44" i="37"/>
  <c r="M44" i="37"/>
  <c r="N44" i="37"/>
  <c r="O44" i="37"/>
  <c r="P44" i="37"/>
  <c r="Q44" i="37"/>
  <c r="R44" i="37"/>
  <c r="S44" i="37"/>
  <c r="A45" i="37"/>
  <c r="B45" i="37"/>
  <c r="C45" i="37"/>
  <c r="D45" i="37"/>
  <c r="E45" i="37"/>
  <c r="F45" i="37"/>
  <c r="K45" i="37"/>
  <c r="M45" i="37"/>
  <c r="S45" i="37"/>
  <c r="A46" i="37"/>
  <c r="B46" i="37"/>
  <c r="C46" i="37"/>
  <c r="D46" i="37"/>
  <c r="E46" i="37"/>
  <c r="F46" i="37"/>
  <c r="K46" i="37"/>
  <c r="M46" i="37"/>
  <c r="S46" i="37"/>
  <c r="A47" i="37"/>
  <c r="B47" i="37"/>
  <c r="C47" i="37"/>
  <c r="D47" i="37"/>
  <c r="E47" i="37"/>
  <c r="F47" i="37"/>
  <c r="M47" i="37"/>
  <c r="N47" i="37"/>
  <c r="O47" i="37"/>
  <c r="P47" i="37"/>
  <c r="Q47" i="37"/>
  <c r="R47" i="37"/>
  <c r="S47" i="37"/>
  <c r="A48" i="37"/>
  <c r="B48" i="37"/>
  <c r="C48" i="37"/>
  <c r="D48" i="37"/>
  <c r="E48" i="37"/>
  <c r="F48" i="37"/>
  <c r="K48" i="37"/>
  <c r="M48" i="37"/>
  <c r="N48" i="37"/>
  <c r="O48" i="37"/>
  <c r="P48" i="37"/>
  <c r="Q48" i="37"/>
  <c r="R48" i="37"/>
  <c r="S48" i="37"/>
  <c r="A49" i="37"/>
  <c r="B49" i="37"/>
  <c r="C49" i="37"/>
  <c r="D49" i="37"/>
  <c r="E49" i="37"/>
  <c r="F49" i="37"/>
  <c r="K49" i="37"/>
  <c r="M49" i="37"/>
  <c r="N49" i="37"/>
  <c r="O49" i="37"/>
  <c r="P49" i="37"/>
  <c r="Q49" i="37"/>
  <c r="R49" i="37"/>
  <c r="S49" i="37"/>
  <c r="A50" i="37"/>
  <c r="B50" i="37"/>
  <c r="C50" i="37"/>
  <c r="D50" i="37"/>
  <c r="E50" i="37"/>
  <c r="F50" i="37"/>
  <c r="K50" i="37"/>
  <c r="L50" i="37"/>
  <c r="M50" i="37"/>
  <c r="N50" i="37"/>
  <c r="O50" i="37"/>
  <c r="P50" i="37"/>
  <c r="Q50" i="37"/>
  <c r="R50" i="37"/>
  <c r="A51" i="37"/>
  <c r="B51" i="37"/>
  <c r="C51" i="37"/>
  <c r="D51" i="37"/>
  <c r="E51" i="37"/>
  <c r="F51" i="37"/>
  <c r="K51" i="37"/>
  <c r="L51" i="37"/>
  <c r="M51" i="37"/>
  <c r="N51" i="37"/>
  <c r="O51" i="37"/>
  <c r="P51" i="37"/>
  <c r="Q51" i="37"/>
  <c r="R51" i="37"/>
  <c r="A52" i="37"/>
  <c r="B52" i="37"/>
  <c r="C52" i="37"/>
  <c r="D52" i="37"/>
  <c r="E52" i="37"/>
  <c r="F52" i="37"/>
  <c r="K52" i="37"/>
  <c r="L52" i="37"/>
  <c r="M52" i="37"/>
  <c r="N52" i="37"/>
  <c r="O52" i="37"/>
  <c r="P52" i="37"/>
  <c r="Q52" i="37"/>
  <c r="R52" i="37"/>
  <c r="A53" i="37"/>
  <c r="B53" i="37"/>
  <c r="C53" i="37"/>
  <c r="D53" i="37"/>
  <c r="E53" i="37"/>
  <c r="F53" i="37"/>
  <c r="K53" i="37"/>
  <c r="L53" i="37"/>
  <c r="M53" i="37"/>
  <c r="N53" i="37"/>
  <c r="O53" i="37"/>
  <c r="P53" i="37"/>
  <c r="Q53" i="37"/>
  <c r="R53" i="37"/>
  <c r="A54" i="37"/>
  <c r="B54" i="37"/>
  <c r="C54" i="37"/>
  <c r="D54" i="37"/>
  <c r="E54" i="37"/>
  <c r="F54" i="37"/>
  <c r="K54" i="37"/>
  <c r="L54" i="37"/>
  <c r="M54" i="37"/>
  <c r="N54" i="37"/>
  <c r="O54" i="37"/>
  <c r="P54" i="37"/>
  <c r="Q54" i="37"/>
  <c r="R54" i="37"/>
  <c r="A55" i="37"/>
  <c r="B55" i="37"/>
  <c r="C55" i="37"/>
  <c r="D55" i="37"/>
  <c r="E55" i="37"/>
  <c r="F55" i="37"/>
  <c r="K55" i="37"/>
  <c r="L55" i="37"/>
  <c r="M55" i="37"/>
  <c r="N55" i="37"/>
  <c r="O55" i="37"/>
  <c r="P55" i="37"/>
  <c r="Q55" i="37"/>
  <c r="R55" i="37"/>
  <c r="A56" i="37"/>
  <c r="B56" i="37"/>
  <c r="C56" i="37"/>
  <c r="D56" i="37"/>
  <c r="E56" i="37"/>
  <c r="F56" i="37"/>
  <c r="K56" i="37"/>
  <c r="L56" i="37"/>
  <c r="M56" i="37"/>
  <c r="N56" i="37"/>
  <c r="O56" i="37"/>
  <c r="P56" i="37"/>
  <c r="Q56" i="37"/>
  <c r="S56" i="37"/>
  <c r="A57" i="37"/>
  <c r="B57" i="37"/>
  <c r="C57" i="37"/>
  <c r="D57" i="37"/>
  <c r="E57" i="37"/>
  <c r="F57" i="37"/>
  <c r="K57" i="37"/>
  <c r="L57" i="37"/>
  <c r="M57" i="37"/>
  <c r="N57" i="37"/>
  <c r="O57" i="37"/>
  <c r="P57" i="37"/>
  <c r="Q57" i="37"/>
  <c r="R57" i="37"/>
  <c r="S57" i="37"/>
  <c r="A58" i="37"/>
  <c r="B58" i="37"/>
  <c r="C58" i="37"/>
  <c r="D58" i="37"/>
  <c r="E58" i="37"/>
  <c r="F58" i="37"/>
  <c r="K58" i="37"/>
  <c r="L58" i="37"/>
  <c r="M58" i="37"/>
  <c r="N58" i="37"/>
  <c r="O58" i="37"/>
  <c r="P58" i="37"/>
  <c r="Q58" i="37"/>
  <c r="S58" i="37"/>
  <c r="A59" i="37"/>
  <c r="B59" i="37"/>
  <c r="C59" i="37"/>
  <c r="D59" i="37"/>
  <c r="E59" i="37"/>
  <c r="F59" i="37"/>
  <c r="K59" i="37"/>
  <c r="L59" i="37"/>
  <c r="M59" i="37"/>
  <c r="N59" i="37"/>
  <c r="O59" i="37"/>
  <c r="P59" i="37"/>
  <c r="Q59" i="37"/>
  <c r="R59" i="37"/>
  <c r="A60" i="37"/>
  <c r="B60" i="37"/>
  <c r="C60" i="37"/>
  <c r="D60" i="37"/>
  <c r="E60" i="37"/>
  <c r="F60" i="37"/>
  <c r="K60" i="37"/>
  <c r="L60" i="37"/>
  <c r="M60" i="37"/>
  <c r="N60" i="37"/>
  <c r="O60" i="37"/>
  <c r="P60" i="37"/>
  <c r="Q60" i="37"/>
  <c r="S60" i="37"/>
  <c r="A61" i="37"/>
  <c r="B61" i="37"/>
  <c r="C61" i="37"/>
  <c r="D61" i="37"/>
  <c r="E61" i="37"/>
  <c r="F61" i="37"/>
  <c r="K61" i="37"/>
  <c r="L61" i="37"/>
  <c r="M61" i="37"/>
  <c r="N61" i="37"/>
  <c r="O61" i="37"/>
  <c r="P61" i="37"/>
  <c r="Q61" i="37"/>
  <c r="S61" i="37"/>
  <c r="A62" i="37"/>
  <c r="B62" i="37"/>
  <c r="C62" i="37"/>
  <c r="D62" i="37"/>
  <c r="E62" i="37"/>
  <c r="F62" i="37"/>
  <c r="L62" i="37"/>
  <c r="M62" i="37"/>
  <c r="O62" i="37"/>
  <c r="P62" i="37"/>
  <c r="Q62" i="37"/>
  <c r="R62" i="37"/>
  <c r="S62" i="37"/>
  <c r="A63" i="37"/>
  <c r="B63" i="37"/>
  <c r="C63" i="37"/>
  <c r="D63" i="37"/>
  <c r="E63" i="37"/>
  <c r="F63" i="37"/>
  <c r="L63" i="37"/>
  <c r="M63" i="37"/>
  <c r="O63" i="37"/>
  <c r="P63" i="37"/>
  <c r="Q63" i="37"/>
  <c r="R63" i="37"/>
  <c r="S63" i="37"/>
  <c r="A64" i="37"/>
  <c r="B64" i="37"/>
  <c r="C64" i="37"/>
  <c r="D64" i="37"/>
  <c r="E64" i="37"/>
  <c r="F64" i="37"/>
  <c r="K64" i="37"/>
  <c r="L64" i="37"/>
  <c r="M64" i="37"/>
  <c r="N64" i="37"/>
  <c r="O64" i="37"/>
  <c r="P64" i="37"/>
  <c r="Q64" i="37"/>
  <c r="R64" i="37"/>
  <c r="S64" i="37"/>
  <c r="A65" i="37"/>
  <c r="B65" i="37"/>
  <c r="C65" i="37"/>
  <c r="D65" i="37"/>
  <c r="E65" i="37"/>
  <c r="F65" i="37"/>
  <c r="K65" i="37"/>
  <c r="L65" i="37"/>
  <c r="M65" i="37"/>
  <c r="N65" i="37"/>
  <c r="O65" i="37"/>
  <c r="P65" i="37"/>
  <c r="Q65" i="37"/>
  <c r="S65" i="37"/>
  <c r="A66" i="37"/>
  <c r="B66" i="37"/>
  <c r="C66" i="37"/>
  <c r="D66" i="37"/>
  <c r="E66" i="37"/>
  <c r="F66" i="37"/>
  <c r="L66" i="37"/>
  <c r="M66" i="37"/>
  <c r="A67" i="37"/>
  <c r="B67" i="37"/>
  <c r="C67" i="37"/>
  <c r="D67" i="37"/>
  <c r="E67" i="37"/>
  <c r="F67" i="37"/>
  <c r="K67" i="37"/>
  <c r="L67" i="37"/>
  <c r="M67" i="37"/>
  <c r="N67" i="37"/>
  <c r="O67" i="37"/>
  <c r="P67" i="37"/>
  <c r="Q67" i="37"/>
  <c r="R67" i="37"/>
  <c r="A68" i="37"/>
  <c r="B68" i="37"/>
  <c r="C68" i="37"/>
  <c r="D68" i="37"/>
  <c r="E68" i="37"/>
  <c r="F68" i="37"/>
  <c r="K68" i="37"/>
  <c r="L68" i="37"/>
  <c r="M68" i="37"/>
  <c r="N68" i="37"/>
  <c r="O68" i="37"/>
  <c r="P68" i="37"/>
  <c r="Q68" i="37"/>
  <c r="R68" i="37"/>
  <c r="A69" i="37"/>
  <c r="B69" i="37"/>
  <c r="C69" i="37"/>
  <c r="D69" i="37"/>
  <c r="E69" i="37"/>
  <c r="F69" i="37"/>
  <c r="K69" i="37"/>
  <c r="L69" i="37"/>
  <c r="M69" i="37"/>
  <c r="N69" i="37"/>
  <c r="O69" i="37"/>
  <c r="P69" i="37"/>
  <c r="Q69" i="37"/>
  <c r="R69" i="37"/>
  <c r="A70" i="37"/>
  <c r="B70" i="37"/>
  <c r="C70" i="37"/>
  <c r="D70" i="37"/>
  <c r="E70" i="37"/>
  <c r="F70" i="37"/>
  <c r="K70" i="37"/>
  <c r="L70" i="37"/>
  <c r="M70" i="37"/>
  <c r="N70" i="37"/>
  <c r="O70" i="37"/>
  <c r="P70" i="37"/>
  <c r="Q70" i="37"/>
  <c r="R70" i="37"/>
  <c r="A71" i="37"/>
  <c r="B71" i="37"/>
  <c r="C71" i="37"/>
  <c r="D71" i="37"/>
  <c r="E71" i="37"/>
  <c r="F71" i="37"/>
  <c r="K71" i="37"/>
  <c r="L71" i="37"/>
  <c r="M71" i="37"/>
  <c r="N71" i="37"/>
  <c r="O71" i="37"/>
  <c r="P71" i="37"/>
  <c r="Q71" i="37"/>
  <c r="R71" i="37"/>
  <c r="A72" i="37"/>
  <c r="B72" i="37"/>
  <c r="C72" i="37"/>
  <c r="D72" i="37"/>
  <c r="E72" i="37"/>
  <c r="F72" i="37"/>
  <c r="K72" i="37"/>
  <c r="L72" i="37"/>
  <c r="M72" i="37"/>
  <c r="N72" i="37"/>
  <c r="O72" i="37"/>
  <c r="P72" i="37"/>
  <c r="Q72" i="37"/>
  <c r="R72" i="37"/>
  <c r="A73" i="37"/>
  <c r="B73" i="37"/>
  <c r="C73" i="37"/>
  <c r="D73" i="37"/>
  <c r="E73" i="37"/>
  <c r="F73" i="37"/>
  <c r="K73" i="37"/>
  <c r="L73" i="37"/>
  <c r="M73" i="37"/>
  <c r="N73" i="37"/>
  <c r="O73" i="37"/>
  <c r="P73" i="37"/>
  <c r="Q73" i="37"/>
  <c r="R73" i="37"/>
  <c r="A74" i="37"/>
  <c r="B74" i="37"/>
  <c r="C74" i="37"/>
  <c r="D74" i="37"/>
  <c r="E74" i="37"/>
  <c r="F74" i="37"/>
  <c r="K74" i="37"/>
  <c r="L74" i="37"/>
  <c r="M74" i="37"/>
  <c r="N74" i="37"/>
  <c r="O74" i="37"/>
  <c r="P74" i="37"/>
  <c r="Q74" i="37"/>
  <c r="R74" i="37"/>
  <c r="A75" i="37"/>
  <c r="B75" i="37"/>
  <c r="C75" i="37"/>
  <c r="D75" i="37"/>
  <c r="E75" i="37"/>
  <c r="F75" i="37"/>
  <c r="K75" i="37"/>
  <c r="L75" i="37"/>
  <c r="M75" i="37"/>
  <c r="N75" i="37"/>
  <c r="O75" i="37"/>
  <c r="P75" i="37"/>
  <c r="Q75" i="37"/>
  <c r="R75" i="37"/>
  <c r="A76" i="37"/>
  <c r="B76" i="37"/>
  <c r="C76" i="37"/>
  <c r="D76" i="37"/>
  <c r="E76" i="37"/>
  <c r="F76" i="37"/>
  <c r="K76" i="37"/>
  <c r="L76" i="37"/>
  <c r="M76" i="37"/>
  <c r="N76" i="37"/>
  <c r="O76" i="37"/>
  <c r="P76" i="37"/>
  <c r="Q76" i="37"/>
  <c r="R76" i="37"/>
  <c r="A77" i="37"/>
  <c r="B77" i="37"/>
  <c r="C77" i="37"/>
  <c r="D77" i="37"/>
  <c r="E77" i="37"/>
  <c r="F77" i="37"/>
  <c r="L77" i="37"/>
  <c r="M77" i="37"/>
  <c r="N77" i="37"/>
  <c r="O77" i="37"/>
  <c r="P77" i="37"/>
  <c r="Q77" i="37"/>
  <c r="R77" i="37"/>
  <c r="A78" i="37"/>
  <c r="B78" i="37"/>
  <c r="C78" i="37"/>
  <c r="D78" i="37"/>
  <c r="E78" i="37"/>
  <c r="F78" i="37"/>
  <c r="K78" i="37"/>
  <c r="L78" i="37"/>
  <c r="M78" i="37"/>
  <c r="N78" i="37"/>
  <c r="O78" i="37"/>
  <c r="P78" i="37"/>
  <c r="Q78" i="37"/>
  <c r="R78" i="37"/>
  <c r="A79" i="37"/>
  <c r="B79" i="37"/>
  <c r="C79" i="37"/>
  <c r="D79" i="37"/>
  <c r="E79" i="37"/>
  <c r="F79" i="37"/>
  <c r="K79" i="37"/>
  <c r="L79" i="37"/>
  <c r="M79" i="37"/>
  <c r="N79" i="37"/>
  <c r="O79" i="37"/>
  <c r="P79" i="37"/>
  <c r="Q79" i="37"/>
  <c r="R79" i="37"/>
  <c r="A80" i="37"/>
  <c r="B80" i="37"/>
  <c r="C80" i="37"/>
  <c r="D80" i="37"/>
  <c r="E80" i="37"/>
  <c r="F80" i="37"/>
  <c r="K80" i="37"/>
  <c r="L80" i="37"/>
  <c r="M80" i="37"/>
  <c r="N80" i="37"/>
  <c r="O80" i="37"/>
  <c r="P80" i="37"/>
  <c r="Q80" i="37"/>
  <c r="R80" i="37"/>
  <c r="A81" i="37"/>
  <c r="B81" i="37"/>
  <c r="C81" i="37"/>
  <c r="D81" i="37"/>
  <c r="E81" i="37"/>
  <c r="F81" i="37"/>
  <c r="K81" i="37"/>
  <c r="L81" i="37"/>
  <c r="M81" i="37"/>
  <c r="N81" i="37"/>
  <c r="O81" i="37"/>
  <c r="P81" i="37"/>
  <c r="Q81" i="37"/>
  <c r="R81" i="37"/>
  <c r="A82" i="37"/>
  <c r="B82" i="37"/>
  <c r="C82" i="37"/>
  <c r="D82" i="37"/>
  <c r="E82" i="37"/>
  <c r="F82" i="37"/>
  <c r="K82" i="37"/>
  <c r="L82" i="37"/>
  <c r="M82" i="37"/>
  <c r="N82" i="37"/>
  <c r="O82" i="37"/>
  <c r="P82" i="37"/>
  <c r="Q82" i="37"/>
  <c r="R82" i="37"/>
  <c r="A83" i="37"/>
  <c r="B83" i="37"/>
  <c r="C83" i="37"/>
  <c r="D83" i="37"/>
  <c r="E83" i="37"/>
  <c r="F83" i="37"/>
  <c r="K83" i="37"/>
  <c r="L83" i="37"/>
  <c r="M83" i="37"/>
  <c r="N83" i="37"/>
  <c r="O83" i="37"/>
  <c r="P83" i="37"/>
  <c r="Q83" i="37"/>
  <c r="R83" i="37"/>
  <c r="A84" i="37"/>
  <c r="B84" i="37"/>
  <c r="C84" i="37"/>
  <c r="D84" i="37"/>
  <c r="E84" i="37"/>
  <c r="F84" i="37"/>
  <c r="K84" i="37"/>
  <c r="L84" i="37"/>
  <c r="M84" i="37"/>
  <c r="N84" i="37"/>
  <c r="O84" i="37"/>
  <c r="P84" i="37"/>
  <c r="Q84" i="37"/>
  <c r="R84" i="37"/>
  <c r="A85" i="37"/>
  <c r="B85" i="37"/>
  <c r="C85" i="37"/>
  <c r="D85" i="37"/>
  <c r="E85" i="37"/>
  <c r="F85" i="37"/>
  <c r="K85" i="37"/>
  <c r="L85" i="37"/>
  <c r="M85" i="37"/>
  <c r="N85" i="37"/>
  <c r="O85" i="37"/>
  <c r="P85" i="37"/>
  <c r="Q85" i="37"/>
  <c r="R85" i="37"/>
  <c r="A86" i="37"/>
  <c r="B86" i="37"/>
  <c r="C86" i="37"/>
  <c r="D86" i="37"/>
  <c r="E86" i="37"/>
  <c r="F86" i="37"/>
  <c r="K86" i="37"/>
  <c r="L86" i="37"/>
  <c r="M86" i="37"/>
  <c r="A87" i="37"/>
  <c r="B87" i="37"/>
  <c r="C87" i="37"/>
  <c r="D87" i="37"/>
  <c r="E87" i="37"/>
  <c r="F87" i="37"/>
  <c r="K87" i="37"/>
  <c r="L87" i="37"/>
  <c r="M87" i="37"/>
  <c r="N87" i="37"/>
  <c r="O87" i="37"/>
  <c r="P87" i="37"/>
  <c r="Q87" i="37"/>
  <c r="R87" i="37"/>
  <c r="A88" i="37"/>
  <c r="B88" i="37"/>
  <c r="C88" i="37"/>
  <c r="D88" i="37"/>
  <c r="E88" i="37"/>
  <c r="F88" i="37"/>
  <c r="K88" i="37"/>
  <c r="L88" i="37"/>
  <c r="M88" i="37"/>
  <c r="N88" i="37"/>
  <c r="O88" i="37"/>
  <c r="P88" i="37"/>
  <c r="Q88" i="37"/>
  <c r="R88" i="37"/>
  <c r="A89" i="37"/>
  <c r="B89" i="37"/>
  <c r="C89" i="37"/>
  <c r="D89" i="37"/>
  <c r="E89" i="37"/>
  <c r="F89" i="37"/>
  <c r="K89" i="37"/>
  <c r="L89" i="37"/>
  <c r="M89" i="37"/>
  <c r="N89" i="37"/>
  <c r="O89" i="37"/>
  <c r="P89" i="37"/>
  <c r="Q89" i="37"/>
  <c r="R89" i="37"/>
  <c r="A90" i="37"/>
  <c r="B90" i="37"/>
  <c r="C90" i="37"/>
  <c r="D90" i="37"/>
  <c r="E90" i="37"/>
  <c r="F90" i="37"/>
  <c r="K90" i="37"/>
  <c r="L90" i="37"/>
  <c r="M90" i="37"/>
  <c r="A91" i="37"/>
  <c r="B91" i="37"/>
  <c r="C91" i="37"/>
  <c r="D91" i="37"/>
  <c r="E91" i="37"/>
  <c r="F91" i="37"/>
  <c r="K91" i="37"/>
  <c r="L91" i="37"/>
  <c r="M91" i="37"/>
  <c r="N91" i="37"/>
  <c r="O91" i="37"/>
  <c r="P91" i="37"/>
  <c r="Q91" i="37"/>
  <c r="R91" i="37"/>
  <c r="A92" i="37"/>
  <c r="B92" i="37"/>
  <c r="C92" i="37"/>
  <c r="D92" i="37"/>
  <c r="E92" i="37"/>
  <c r="F92" i="37"/>
  <c r="K92" i="37"/>
  <c r="L92" i="37"/>
  <c r="M92" i="37"/>
  <c r="N92" i="37"/>
  <c r="O92" i="37"/>
  <c r="P92" i="37"/>
  <c r="Q92" i="37"/>
  <c r="R92" i="37"/>
  <c r="A93" i="37"/>
  <c r="B93" i="37"/>
  <c r="C93" i="37"/>
  <c r="D93" i="37"/>
  <c r="E93" i="37"/>
  <c r="F93" i="37"/>
  <c r="K93" i="37"/>
  <c r="L93" i="37"/>
  <c r="M93" i="37"/>
  <c r="N93" i="37"/>
  <c r="O93" i="37"/>
  <c r="P93" i="37"/>
  <c r="Q93" i="37"/>
  <c r="R93" i="37"/>
  <c r="A94" i="37"/>
  <c r="B94" i="37"/>
  <c r="C94" i="37"/>
  <c r="D94" i="37"/>
  <c r="E94" i="37"/>
  <c r="F94" i="37"/>
  <c r="K94" i="37"/>
  <c r="L94" i="37"/>
  <c r="M94" i="37"/>
  <c r="N94" i="37"/>
  <c r="O94" i="37"/>
  <c r="P94" i="37"/>
  <c r="Q94" i="37"/>
  <c r="R94" i="37"/>
  <c r="A95" i="37"/>
  <c r="B95" i="37"/>
  <c r="C95" i="37"/>
  <c r="D95" i="37"/>
  <c r="E95" i="37"/>
  <c r="F95" i="37"/>
  <c r="K95" i="37"/>
  <c r="L95" i="37"/>
  <c r="M95" i="37"/>
  <c r="N95" i="37"/>
  <c r="O95" i="37"/>
  <c r="P95" i="37"/>
  <c r="Q95" i="37"/>
  <c r="R95" i="37"/>
  <c r="A96" i="37"/>
  <c r="B96" i="37"/>
  <c r="C96" i="37"/>
  <c r="D96" i="37"/>
  <c r="E96" i="37"/>
  <c r="F96" i="37"/>
  <c r="K96" i="37"/>
  <c r="L96" i="37"/>
  <c r="M96" i="37"/>
  <c r="N96" i="37"/>
  <c r="O96" i="37"/>
  <c r="P96" i="37"/>
  <c r="Q96" i="37"/>
  <c r="R96" i="37"/>
  <c r="A97" i="37"/>
  <c r="B97" i="37"/>
  <c r="C97" i="37"/>
  <c r="D97" i="37"/>
  <c r="E97" i="37"/>
  <c r="F97" i="37"/>
  <c r="K97" i="37"/>
  <c r="L97" i="37"/>
  <c r="M97" i="37"/>
  <c r="A98" i="37"/>
  <c r="B98" i="37"/>
  <c r="C98" i="37"/>
  <c r="D98" i="37"/>
  <c r="E98" i="37"/>
  <c r="F98" i="37"/>
  <c r="K98" i="37"/>
  <c r="L98" i="37"/>
  <c r="M98" i="37"/>
  <c r="N98" i="37"/>
  <c r="O98" i="37"/>
  <c r="P98" i="37"/>
  <c r="Q98" i="37"/>
  <c r="R98" i="37"/>
  <c r="A99" i="37"/>
  <c r="B99" i="37"/>
  <c r="C99" i="37"/>
  <c r="D99" i="37"/>
  <c r="E99" i="37"/>
  <c r="F99" i="37"/>
  <c r="K99" i="37"/>
  <c r="L99" i="37"/>
  <c r="M99" i="37"/>
  <c r="N99" i="37"/>
  <c r="O99" i="37"/>
  <c r="P99" i="37"/>
  <c r="Q99" i="37"/>
  <c r="R99" i="37"/>
  <c r="S99" i="37"/>
  <c r="A100" i="37"/>
  <c r="B100" i="37"/>
  <c r="C100" i="37"/>
  <c r="D100" i="37"/>
  <c r="E100" i="37"/>
  <c r="F100" i="37"/>
  <c r="K100" i="37"/>
  <c r="L100" i="37"/>
  <c r="M100" i="37"/>
  <c r="N100" i="37"/>
  <c r="O100" i="37"/>
  <c r="P100" i="37"/>
  <c r="Q100" i="37"/>
  <c r="R100" i="37"/>
  <c r="S100" i="37"/>
  <c r="A101" i="37"/>
  <c r="B101" i="37"/>
  <c r="C101" i="37"/>
  <c r="D101" i="37"/>
  <c r="E101" i="37"/>
  <c r="F101" i="37"/>
  <c r="N101" i="37"/>
  <c r="O101" i="37"/>
  <c r="P101" i="37"/>
  <c r="Q101" i="37"/>
  <c r="R101" i="37"/>
  <c r="A102" i="37"/>
  <c r="B102" i="37"/>
  <c r="C102" i="37"/>
  <c r="D102" i="37"/>
  <c r="E102" i="37"/>
  <c r="F102" i="37"/>
  <c r="K102" i="37"/>
  <c r="M102" i="37"/>
  <c r="N102" i="37"/>
  <c r="O102" i="37"/>
  <c r="P102" i="37"/>
  <c r="Q102" i="37"/>
  <c r="R102" i="37"/>
  <c r="A103" i="37"/>
  <c r="B103" i="37"/>
  <c r="C103" i="37"/>
  <c r="D103" i="37"/>
  <c r="E103" i="37"/>
  <c r="F103" i="37"/>
  <c r="N103" i="37"/>
  <c r="O103" i="37"/>
  <c r="P103" i="37"/>
  <c r="Q103" i="37"/>
  <c r="R103" i="37"/>
  <c r="A104" i="37"/>
  <c r="B104" i="37"/>
  <c r="C104" i="37"/>
  <c r="D104" i="37"/>
  <c r="E104" i="37"/>
  <c r="F104" i="37"/>
  <c r="K104" i="37"/>
  <c r="M104" i="37"/>
  <c r="N104" i="37"/>
  <c r="O104" i="37"/>
  <c r="P104" i="37"/>
  <c r="Q104" i="37"/>
  <c r="R104" i="37"/>
  <c r="S104" i="37"/>
  <c r="A105" i="37"/>
  <c r="B105" i="37"/>
  <c r="C105" i="37"/>
  <c r="D105" i="37"/>
  <c r="E105" i="37"/>
  <c r="F105" i="37"/>
  <c r="K105" i="37"/>
  <c r="M105" i="37"/>
  <c r="N105" i="37"/>
  <c r="O105" i="37"/>
  <c r="P105" i="37"/>
  <c r="Q105" i="37"/>
  <c r="R105" i="37"/>
  <c r="A106" i="37"/>
  <c r="B106" i="37"/>
  <c r="C106" i="37"/>
  <c r="D106" i="37"/>
  <c r="E106" i="37"/>
  <c r="F106" i="37"/>
  <c r="K106" i="37"/>
  <c r="L106" i="37"/>
  <c r="M106" i="37"/>
  <c r="N106" i="37"/>
  <c r="O106" i="37"/>
  <c r="P106" i="37"/>
  <c r="Q106" i="37"/>
  <c r="R106" i="37"/>
  <c r="A107" i="37"/>
  <c r="B107" i="37"/>
  <c r="C107" i="37"/>
  <c r="D107" i="37"/>
  <c r="E107" i="37"/>
  <c r="F107" i="37"/>
  <c r="N107" i="37"/>
  <c r="O107" i="37"/>
  <c r="P107" i="37"/>
  <c r="Q107" i="37"/>
  <c r="R107" i="37"/>
  <c r="A108" i="37"/>
  <c r="B108" i="37"/>
  <c r="C108" i="37"/>
  <c r="D108" i="37"/>
  <c r="E108" i="37"/>
  <c r="F108" i="37"/>
  <c r="N108" i="37"/>
  <c r="O108" i="37"/>
  <c r="P108" i="37"/>
  <c r="Q108" i="37"/>
  <c r="R108" i="37"/>
  <c r="A109" i="37"/>
  <c r="B109" i="37"/>
  <c r="C109" i="37"/>
  <c r="D109" i="37"/>
  <c r="E109" i="37"/>
  <c r="F109" i="37"/>
  <c r="K109" i="37"/>
  <c r="L109" i="37"/>
  <c r="M109" i="37"/>
  <c r="N109" i="37"/>
  <c r="O109" i="37"/>
  <c r="P109" i="37"/>
  <c r="Q109" i="37"/>
  <c r="R109" i="37"/>
  <c r="A110" i="37"/>
  <c r="B110" i="37"/>
  <c r="C110" i="37"/>
  <c r="D110" i="37"/>
  <c r="E110" i="37"/>
  <c r="F110" i="37"/>
  <c r="K110" i="37"/>
  <c r="L110" i="37"/>
  <c r="M110" i="37"/>
  <c r="N110" i="37"/>
  <c r="O110" i="37"/>
  <c r="P110" i="37"/>
  <c r="Q110" i="37"/>
  <c r="R110" i="37"/>
  <c r="A111" i="37"/>
  <c r="B111" i="37"/>
  <c r="C111" i="37"/>
  <c r="D111" i="37"/>
  <c r="E111" i="37"/>
  <c r="F111" i="37"/>
  <c r="N111" i="37"/>
  <c r="O111" i="37"/>
  <c r="P111" i="37"/>
  <c r="Q111" i="37"/>
  <c r="R111" i="37"/>
  <c r="A112" i="37"/>
  <c r="B112" i="37"/>
  <c r="C112" i="37"/>
  <c r="D112" i="37"/>
  <c r="E112" i="37"/>
  <c r="F112" i="37"/>
  <c r="K112" i="37"/>
  <c r="L112" i="37"/>
  <c r="M112" i="37"/>
  <c r="N112" i="37"/>
  <c r="O112" i="37"/>
  <c r="P112" i="37"/>
  <c r="Q112" i="37"/>
  <c r="R112" i="37"/>
  <c r="A113" i="37"/>
  <c r="B113" i="37"/>
  <c r="C113" i="37"/>
  <c r="D113" i="37"/>
  <c r="E113" i="37"/>
  <c r="F113" i="37"/>
  <c r="K113" i="37"/>
  <c r="L113" i="37"/>
  <c r="M113" i="37"/>
  <c r="N113" i="37"/>
  <c r="O113" i="37"/>
  <c r="P113" i="37"/>
  <c r="Q113" i="37"/>
  <c r="R113" i="37"/>
  <c r="A114" i="37"/>
  <c r="B114" i="37"/>
  <c r="C114" i="37"/>
  <c r="D114" i="37"/>
  <c r="E114" i="37"/>
  <c r="F114" i="37"/>
  <c r="K114" i="37"/>
  <c r="L114" i="37"/>
  <c r="M114" i="37"/>
  <c r="N114" i="37"/>
  <c r="P114" i="37"/>
  <c r="R114" i="37"/>
  <c r="A115" i="37"/>
  <c r="B115" i="37"/>
  <c r="C115" i="37"/>
  <c r="D115" i="37"/>
  <c r="E115" i="37"/>
  <c r="F115" i="37"/>
  <c r="K115" i="37"/>
  <c r="L115" i="37"/>
  <c r="M115" i="37"/>
  <c r="N115" i="37"/>
  <c r="O115" i="37"/>
  <c r="P115" i="37"/>
  <c r="Q115" i="37"/>
  <c r="R115" i="37"/>
  <c r="A116" i="37"/>
  <c r="B116" i="37"/>
  <c r="C116" i="37"/>
  <c r="D116" i="37"/>
  <c r="E116" i="37"/>
  <c r="F116" i="37"/>
  <c r="K116" i="37"/>
  <c r="L116" i="37"/>
  <c r="M116" i="37"/>
  <c r="N116" i="37"/>
  <c r="O116" i="37"/>
  <c r="P116" i="37"/>
  <c r="Q116" i="37"/>
  <c r="R116" i="37"/>
  <c r="A117" i="37"/>
  <c r="B117" i="37"/>
  <c r="C117" i="37"/>
  <c r="D117" i="37"/>
  <c r="E117" i="37"/>
  <c r="F117" i="37"/>
  <c r="K117" i="37"/>
  <c r="L117" i="37"/>
  <c r="M117" i="37"/>
  <c r="N117" i="37"/>
  <c r="O117" i="37"/>
  <c r="P117" i="37"/>
  <c r="Q117" i="37"/>
  <c r="R117" i="37"/>
  <c r="A118" i="37"/>
  <c r="B118" i="37"/>
  <c r="C118" i="37"/>
  <c r="D118" i="37"/>
  <c r="E118" i="37"/>
  <c r="F118" i="37"/>
  <c r="K118" i="37"/>
  <c r="L118" i="37"/>
  <c r="M118" i="37"/>
  <c r="N118" i="37"/>
  <c r="O118" i="37"/>
  <c r="P118" i="37"/>
  <c r="Q118" i="37"/>
  <c r="R118" i="37"/>
  <c r="O118" i="35" l="1"/>
  <c r="N118" i="35"/>
  <c r="M118" i="35"/>
  <c r="L118" i="35"/>
  <c r="K118" i="35"/>
  <c r="J118" i="35"/>
  <c r="I118" i="35"/>
  <c r="H118" i="35"/>
  <c r="F118" i="35"/>
  <c r="E118" i="35"/>
  <c r="D118" i="35"/>
  <c r="C118" i="35"/>
  <c r="B118" i="35"/>
  <c r="A118" i="35"/>
  <c r="O117" i="35"/>
  <c r="N117" i="35"/>
  <c r="M117" i="35"/>
  <c r="L117" i="35"/>
  <c r="K117" i="35"/>
  <c r="J117" i="35"/>
  <c r="I117" i="35"/>
  <c r="H117" i="35"/>
  <c r="F117" i="35"/>
  <c r="E117" i="35"/>
  <c r="D117" i="35"/>
  <c r="C117" i="35"/>
  <c r="B117" i="35"/>
  <c r="A117" i="35"/>
  <c r="O116" i="35"/>
  <c r="N116" i="35"/>
  <c r="M116" i="35"/>
  <c r="L116" i="35"/>
  <c r="K116" i="35"/>
  <c r="J116" i="35"/>
  <c r="I116" i="35"/>
  <c r="H116" i="35"/>
  <c r="F116" i="35"/>
  <c r="E116" i="35"/>
  <c r="D116" i="35"/>
  <c r="C116" i="35"/>
  <c r="B116" i="35"/>
  <c r="A116" i="35"/>
  <c r="O115" i="35"/>
  <c r="N115" i="35"/>
  <c r="M115" i="35"/>
  <c r="L115" i="35"/>
  <c r="K115" i="35"/>
  <c r="J115" i="35"/>
  <c r="I115" i="35"/>
  <c r="H115" i="35"/>
  <c r="F115" i="35"/>
  <c r="E115" i="35"/>
  <c r="D115" i="35"/>
  <c r="C115" i="35"/>
  <c r="B115" i="35"/>
  <c r="A115" i="35"/>
  <c r="O114" i="35"/>
  <c r="M114" i="35"/>
  <c r="K114" i="35"/>
  <c r="J114" i="35"/>
  <c r="I114" i="35"/>
  <c r="H114" i="35"/>
  <c r="F114" i="35"/>
  <c r="E114" i="35"/>
  <c r="D114" i="35"/>
  <c r="C114" i="35"/>
  <c r="B114" i="35"/>
  <c r="A114" i="35"/>
  <c r="O113" i="35"/>
  <c r="N113" i="35"/>
  <c r="M113" i="35"/>
  <c r="L113" i="35"/>
  <c r="K113" i="35"/>
  <c r="J113" i="35"/>
  <c r="I113" i="35"/>
  <c r="H113" i="35"/>
  <c r="F113" i="35"/>
  <c r="E113" i="35"/>
  <c r="D113" i="35"/>
  <c r="C113" i="35"/>
  <c r="B113" i="35"/>
  <c r="A113" i="35"/>
  <c r="O112" i="35"/>
  <c r="N112" i="35"/>
  <c r="M112" i="35"/>
  <c r="L112" i="35"/>
  <c r="K112" i="35"/>
  <c r="J112" i="35"/>
  <c r="I112" i="35"/>
  <c r="H112" i="35"/>
  <c r="F112" i="35"/>
  <c r="E112" i="35"/>
  <c r="D112" i="35"/>
  <c r="C112" i="35"/>
  <c r="B112" i="35"/>
  <c r="A112" i="35"/>
  <c r="O111" i="35"/>
  <c r="N111" i="35"/>
  <c r="M111" i="35"/>
  <c r="L111" i="35"/>
  <c r="K111" i="35"/>
  <c r="F111" i="35"/>
  <c r="E111" i="35"/>
  <c r="D111" i="35"/>
  <c r="C111" i="35"/>
  <c r="B111" i="35"/>
  <c r="A111" i="35"/>
  <c r="O110" i="35"/>
  <c r="N110" i="35"/>
  <c r="M110" i="35"/>
  <c r="L110" i="35"/>
  <c r="K110" i="35"/>
  <c r="J110" i="35"/>
  <c r="I110" i="35"/>
  <c r="H110" i="35"/>
  <c r="F110" i="35"/>
  <c r="E110" i="35"/>
  <c r="D110" i="35"/>
  <c r="C110" i="35"/>
  <c r="B110" i="35"/>
  <c r="A110" i="35"/>
  <c r="O109" i="35"/>
  <c r="N109" i="35"/>
  <c r="M109" i="35"/>
  <c r="L109" i="35"/>
  <c r="K109" i="35"/>
  <c r="J109" i="35"/>
  <c r="I109" i="35"/>
  <c r="H109" i="35"/>
  <c r="F109" i="35"/>
  <c r="E109" i="35"/>
  <c r="D109" i="35"/>
  <c r="C109" i="35"/>
  <c r="B109" i="35"/>
  <c r="A109" i="35"/>
  <c r="O108" i="35"/>
  <c r="N108" i="35"/>
  <c r="M108" i="35"/>
  <c r="L108" i="35"/>
  <c r="K108" i="35"/>
  <c r="F108" i="35"/>
  <c r="E108" i="35"/>
  <c r="D108" i="35"/>
  <c r="C108" i="35"/>
  <c r="B108" i="35"/>
  <c r="A108" i="35"/>
  <c r="O107" i="35"/>
  <c r="N107" i="35"/>
  <c r="M107" i="35"/>
  <c r="L107" i="35"/>
  <c r="K107" i="35"/>
  <c r="F107" i="35"/>
  <c r="E107" i="35"/>
  <c r="D107" i="35"/>
  <c r="C107" i="35"/>
  <c r="B107" i="35"/>
  <c r="A107" i="35"/>
  <c r="O106" i="35"/>
  <c r="N106" i="35"/>
  <c r="M106" i="35"/>
  <c r="L106" i="35"/>
  <c r="K106" i="35"/>
  <c r="J106" i="35"/>
  <c r="I106" i="35"/>
  <c r="H106" i="35"/>
  <c r="F106" i="35"/>
  <c r="E106" i="35"/>
  <c r="D106" i="35"/>
  <c r="C106" i="35"/>
  <c r="B106" i="35"/>
  <c r="A106" i="35"/>
  <c r="O105" i="35"/>
  <c r="N105" i="35"/>
  <c r="M105" i="35"/>
  <c r="L105" i="35"/>
  <c r="K105" i="35"/>
  <c r="J105" i="35"/>
  <c r="H105" i="35"/>
  <c r="F105" i="35"/>
  <c r="E105" i="35"/>
  <c r="D105" i="35"/>
  <c r="C105" i="35"/>
  <c r="B105" i="35"/>
  <c r="A105" i="35"/>
  <c r="P104" i="35"/>
  <c r="O104" i="35"/>
  <c r="N104" i="35"/>
  <c r="M104" i="35"/>
  <c r="L104" i="35"/>
  <c r="K104" i="35"/>
  <c r="J104" i="35"/>
  <c r="H104" i="35"/>
  <c r="F104" i="35"/>
  <c r="E104" i="35"/>
  <c r="D104" i="35"/>
  <c r="C104" i="35"/>
  <c r="B104" i="35"/>
  <c r="A104" i="35"/>
  <c r="O103" i="35"/>
  <c r="N103" i="35"/>
  <c r="M103" i="35"/>
  <c r="L103" i="35"/>
  <c r="K103" i="35"/>
  <c r="F103" i="35"/>
  <c r="E103" i="35"/>
  <c r="D103" i="35"/>
  <c r="C103" i="35"/>
  <c r="B103" i="35"/>
  <c r="A103" i="35"/>
  <c r="O102" i="35"/>
  <c r="N102" i="35"/>
  <c r="M102" i="35"/>
  <c r="L102" i="35"/>
  <c r="K102" i="35"/>
  <c r="J102" i="35"/>
  <c r="H102" i="35"/>
  <c r="F102" i="35"/>
  <c r="E102" i="35"/>
  <c r="D102" i="35"/>
  <c r="C102" i="35"/>
  <c r="B102" i="35"/>
  <c r="A102" i="35"/>
  <c r="O101" i="35"/>
  <c r="N101" i="35"/>
  <c r="M101" i="35"/>
  <c r="L101" i="35"/>
  <c r="K101" i="35"/>
  <c r="F101" i="35"/>
  <c r="E101" i="35"/>
  <c r="D101" i="35"/>
  <c r="C101" i="35"/>
  <c r="B101" i="35"/>
  <c r="A101" i="35"/>
  <c r="P100" i="35"/>
  <c r="O100" i="35"/>
  <c r="N100" i="35"/>
  <c r="M100" i="35"/>
  <c r="L100" i="35"/>
  <c r="K100" i="35"/>
  <c r="J100" i="35"/>
  <c r="I100" i="35"/>
  <c r="H100" i="35"/>
  <c r="F100" i="35"/>
  <c r="E100" i="35"/>
  <c r="D100" i="35"/>
  <c r="C100" i="35"/>
  <c r="B100" i="35"/>
  <c r="A100" i="35"/>
  <c r="P99" i="35"/>
  <c r="O99" i="35"/>
  <c r="N99" i="35"/>
  <c r="M99" i="35"/>
  <c r="L99" i="35"/>
  <c r="K99" i="35"/>
  <c r="J99" i="35"/>
  <c r="I99" i="35"/>
  <c r="H99" i="35"/>
  <c r="F99" i="35"/>
  <c r="E99" i="35"/>
  <c r="D99" i="35"/>
  <c r="C99" i="35"/>
  <c r="B99" i="35"/>
  <c r="A99" i="35"/>
  <c r="O98" i="35"/>
  <c r="N98" i="35"/>
  <c r="M98" i="35"/>
  <c r="L98" i="35"/>
  <c r="K98" i="35"/>
  <c r="J98" i="35"/>
  <c r="I98" i="35"/>
  <c r="H98" i="35"/>
  <c r="F98" i="35"/>
  <c r="E98" i="35"/>
  <c r="D98" i="35"/>
  <c r="C98" i="35"/>
  <c r="B98" i="35"/>
  <c r="A98" i="35"/>
  <c r="J97" i="35"/>
  <c r="I97" i="35"/>
  <c r="H97" i="35"/>
  <c r="F97" i="35"/>
  <c r="E97" i="35"/>
  <c r="D97" i="35"/>
  <c r="C97" i="35"/>
  <c r="B97" i="35"/>
  <c r="A97" i="35"/>
  <c r="O96" i="35"/>
  <c r="N96" i="35"/>
  <c r="M96" i="35"/>
  <c r="L96" i="35"/>
  <c r="K96" i="35"/>
  <c r="J96" i="35"/>
  <c r="I96" i="35"/>
  <c r="H96" i="35"/>
  <c r="F96" i="35"/>
  <c r="E96" i="35"/>
  <c r="D96" i="35"/>
  <c r="C96" i="35"/>
  <c r="B96" i="35"/>
  <c r="A96" i="35"/>
  <c r="O95" i="35"/>
  <c r="N95" i="35"/>
  <c r="M95" i="35"/>
  <c r="L95" i="35"/>
  <c r="K95" i="35"/>
  <c r="J95" i="35"/>
  <c r="I95" i="35"/>
  <c r="H95" i="35"/>
  <c r="F95" i="35"/>
  <c r="E95" i="35"/>
  <c r="D95" i="35"/>
  <c r="C95" i="35"/>
  <c r="B95" i="35"/>
  <c r="A95" i="35"/>
  <c r="O94" i="35"/>
  <c r="N94" i="35"/>
  <c r="M94" i="35"/>
  <c r="L94" i="35"/>
  <c r="K94" i="35"/>
  <c r="J94" i="35"/>
  <c r="I94" i="35"/>
  <c r="H94" i="35"/>
  <c r="F94" i="35"/>
  <c r="E94" i="35"/>
  <c r="D94" i="35"/>
  <c r="C94" i="35"/>
  <c r="B94" i="35"/>
  <c r="A94" i="35"/>
  <c r="O93" i="35"/>
  <c r="N93" i="35"/>
  <c r="M93" i="35"/>
  <c r="L93" i="35"/>
  <c r="K93" i="35"/>
  <c r="J93" i="35"/>
  <c r="I93" i="35"/>
  <c r="H93" i="35"/>
  <c r="F93" i="35"/>
  <c r="E93" i="35"/>
  <c r="D93" i="35"/>
  <c r="C93" i="35"/>
  <c r="B93" i="35"/>
  <c r="A93" i="35"/>
  <c r="O92" i="35"/>
  <c r="N92" i="35"/>
  <c r="M92" i="35"/>
  <c r="L92" i="35"/>
  <c r="K92" i="35"/>
  <c r="J92" i="35"/>
  <c r="I92" i="35"/>
  <c r="H92" i="35"/>
  <c r="F92" i="35"/>
  <c r="E92" i="35"/>
  <c r="D92" i="35"/>
  <c r="C92" i="35"/>
  <c r="B92" i="35"/>
  <c r="A92" i="35"/>
  <c r="O91" i="35"/>
  <c r="N91" i="35"/>
  <c r="M91" i="35"/>
  <c r="L91" i="35"/>
  <c r="K91" i="35"/>
  <c r="J91" i="35"/>
  <c r="I91" i="35"/>
  <c r="H91" i="35"/>
  <c r="F91" i="35"/>
  <c r="E91" i="35"/>
  <c r="D91" i="35"/>
  <c r="C91" i="35"/>
  <c r="B91" i="35"/>
  <c r="A91" i="35"/>
  <c r="J90" i="35"/>
  <c r="I90" i="35"/>
  <c r="H90" i="35"/>
  <c r="F90" i="35"/>
  <c r="E90" i="35"/>
  <c r="D90" i="35"/>
  <c r="C90" i="35"/>
  <c r="B90" i="35"/>
  <c r="A90" i="35"/>
  <c r="O89" i="35"/>
  <c r="N89" i="35"/>
  <c r="M89" i="35"/>
  <c r="L89" i="35"/>
  <c r="K89" i="35"/>
  <c r="J89" i="35"/>
  <c r="I89" i="35"/>
  <c r="H89" i="35"/>
  <c r="F89" i="35"/>
  <c r="E89" i="35"/>
  <c r="D89" i="35"/>
  <c r="C89" i="35"/>
  <c r="B89" i="35"/>
  <c r="A89" i="35"/>
  <c r="O88" i="35"/>
  <c r="N88" i="35"/>
  <c r="M88" i="35"/>
  <c r="L88" i="35"/>
  <c r="K88" i="35"/>
  <c r="J88" i="35"/>
  <c r="I88" i="35"/>
  <c r="H88" i="35"/>
  <c r="F88" i="35"/>
  <c r="E88" i="35"/>
  <c r="D88" i="35"/>
  <c r="C88" i="35"/>
  <c r="B88" i="35"/>
  <c r="A88" i="35"/>
  <c r="O87" i="35"/>
  <c r="N87" i="35"/>
  <c r="M87" i="35"/>
  <c r="L87" i="35"/>
  <c r="K87" i="35"/>
  <c r="J87" i="35"/>
  <c r="I87" i="35"/>
  <c r="H87" i="35"/>
  <c r="F87" i="35"/>
  <c r="E87" i="35"/>
  <c r="D87" i="35"/>
  <c r="C87" i="35"/>
  <c r="B87" i="35"/>
  <c r="A87" i="35"/>
  <c r="J86" i="35"/>
  <c r="I86" i="35"/>
  <c r="H86" i="35"/>
  <c r="F86" i="35"/>
  <c r="E86" i="35"/>
  <c r="D86" i="35"/>
  <c r="C86" i="35"/>
  <c r="B86" i="35"/>
  <c r="A86" i="35"/>
  <c r="O85" i="35"/>
  <c r="N85" i="35"/>
  <c r="M85" i="35"/>
  <c r="L85" i="35"/>
  <c r="K85" i="35"/>
  <c r="J85" i="35"/>
  <c r="I85" i="35"/>
  <c r="H85" i="35"/>
  <c r="F85" i="35"/>
  <c r="E85" i="35"/>
  <c r="D85" i="35"/>
  <c r="C85" i="35"/>
  <c r="B85" i="35"/>
  <c r="A85" i="35"/>
  <c r="O84" i="35"/>
  <c r="N84" i="35"/>
  <c r="M84" i="35"/>
  <c r="L84" i="35"/>
  <c r="K84" i="35"/>
  <c r="J84" i="35"/>
  <c r="I84" i="35"/>
  <c r="H84" i="35"/>
  <c r="F84" i="35"/>
  <c r="E84" i="35"/>
  <c r="D84" i="35"/>
  <c r="C84" i="35"/>
  <c r="B84" i="35"/>
  <c r="A84" i="35"/>
  <c r="O83" i="35"/>
  <c r="N83" i="35"/>
  <c r="M83" i="35"/>
  <c r="L83" i="35"/>
  <c r="K83" i="35"/>
  <c r="J83" i="35"/>
  <c r="I83" i="35"/>
  <c r="H83" i="35"/>
  <c r="F83" i="35"/>
  <c r="E83" i="35"/>
  <c r="D83" i="35"/>
  <c r="C83" i="35"/>
  <c r="B83" i="35"/>
  <c r="A83" i="35"/>
  <c r="O82" i="35"/>
  <c r="N82" i="35"/>
  <c r="M82" i="35"/>
  <c r="L82" i="35"/>
  <c r="K82" i="35"/>
  <c r="J82" i="35"/>
  <c r="I82" i="35"/>
  <c r="H82" i="35"/>
  <c r="F82" i="35"/>
  <c r="E82" i="35"/>
  <c r="D82" i="35"/>
  <c r="C82" i="35"/>
  <c r="B82" i="35"/>
  <c r="A82" i="35"/>
  <c r="O81" i="35"/>
  <c r="N81" i="35"/>
  <c r="M81" i="35"/>
  <c r="L81" i="35"/>
  <c r="K81" i="35"/>
  <c r="J81" i="35"/>
  <c r="I81" i="35"/>
  <c r="H81" i="35"/>
  <c r="F81" i="35"/>
  <c r="E81" i="35"/>
  <c r="D81" i="35"/>
  <c r="C81" i="35"/>
  <c r="B81" i="35"/>
  <c r="A81" i="35"/>
  <c r="O80" i="35"/>
  <c r="N80" i="35"/>
  <c r="M80" i="35"/>
  <c r="L80" i="35"/>
  <c r="K80" i="35"/>
  <c r="J80" i="35"/>
  <c r="I80" i="35"/>
  <c r="H80" i="35"/>
  <c r="F80" i="35"/>
  <c r="E80" i="35"/>
  <c r="D80" i="35"/>
  <c r="C80" i="35"/>
  <c r="B80" i="35"/>
  <c r="A80" i="35"/>
  <c r="O79" i="35"/>
  <c r="N79" i="35"/>
  <c r="M79" i="35"/>
  <c r="L79" i="35"/>
  <c r="K79" i="35"/>
  <c r="J79" i="35"/>
  <c r="I79" i="35"/>
  <c r="H79" i="35"/>
  <c r="F79" i="35"/>
  <c r="E79" i="35"/>
  <c r="D79" i="35"/>
  <c r="C79" i="35"/>
  <c r="B79" i="35"/>
  <c r="A79" i="35"/>
  <c r="O78" i="35"/>
  <c r="N78" i="35"/>
  <c r="M78" i="35"/>
  <c r="L78" i="35"/>
  <c r="K78" i="35"/>
  <c r="J78" i="35"/>
  <c r="I78" i="35"/>
  <c r="H78" i="35"/>
  <c r="F78" i="35"/>
  <c r="E78" i="35"/>
  <c r="D78" i="35"/>
  <c r="C78" i="35"/>
  <c r="B78" i="35"/>
  <c r="A78" i="35"/>
  <c r="O77" i="35"/>
  <c r="N77" i="35"/>
  <c r="M77" i="35"/>
  <c r="L77" i="35"/>
  <c r="K77" i="35"/>
  <c r="J77" i="35"/>
  <c r="I77" i="35"/>
  <c r="F77" i="35"/>
  <c r="E77" i="35"/>
  <c r="D77" i="35"/>
  <c r="C77" i="35"/>
  <c r="B77" i="35"/>
  <c r="A77" i="35"/>
  <c r="O76" i="35"/>
  <c r="N76" i="35"/>
  <c r="M76" i="35"/>
  <c r="L76" i="35"/>
  <c r="K76" i="35"/>
  <c r="J76" i="35"/>
  <c r="I76" i="35"/>
  <c r="H76" i="35"/>
  <c r="F76" i="35"/>
  <c r="E76" i="35"/>
  <c r="D76" i="35"/>
  <c r="C76" i="35"/>
  <c r="B76" i="35"/>
  <c r="A76" i="35"/>
  <c r="O75" i="35"/>
  <c r="N75" i="35"/>
  <c r="M75" i="35"/>
  <c r="L75" i="35"/>
  <c r="K75" i="35"/>
  <c r="J75" i="35"/>
  <c r="I75" i="35"/>
  <c r="H75" i="35"/>
  <c r="F75" i="35"/>
  <c r="E75" i="35"/>
  <c r="D75" i="35"/>
  <c r="C75" i="35"/>
  <c r="B75" i="35"/>
  <c r="A75" i="35"/>
  <c r="O74" i="35"/>
  <c r="N74" i="35"/>
  <c r="M74" i="35"/>
  <c r="L74" i="35"/>
  <c r="K74" i="35"/>
  <c r="J74" i="35"/>
  <c r="I74" i="35"/>
  <c r="H74" i="35"/>
  <c r="F74" i="35"/>
  <c r="E74" i="35"/>
  <c r="D74" i="35"/>
  <c r="C74" i="35"/>
  <c r="B74" i="35"/>
  <c r="A74" i="35"/>
  <c r="O73" i="35"/>
  <c r="N73" i="35"/>
  <c r="M73" i="35"/>
  <c r="L73" i="35"/>
  <c r="K73" i="35"/>
  <c r="J73" i="35"/>
  <c r="I73" i="35"/>
  <c r="H73" i="35"/>
  <c r="F73" i="35"/>
  <c r="E73" i="35"/>
  <c r="D73" i="35"/>
  <c r="C73" i="35"/>
  <c r="B73" i="35"/>
  <c r="A73" i="35"/>
  <c r="O72" i="35"/>
  <c r="N72" i="35"/>
  <c r="M72" i="35"/>
  <c r="L72" i="35"/>
  <c r="K72" i="35"/>
  <c r="J72" i="35"/>
  <c r="I72" i="35"/>
  <c r="H72" i="35"/>
  <c r="F72" i="35"/>
  <c r="E72" i="35"/>
  <c r="D72" i="35"/>
  <c r="C72" i="35"/>
  <c r="B72" i="35"/>
  <c r="A72" i="35"/>
  <c r="O71" i="35"/>
  <c r="N71" i="35"/>
  <c r="M71" i="35"/>
  <c r="L71" i="35"/>
  <c r="K71" i="35"/>
  <c r="J71" i="35"/>
  <c r="I71" i="35"/>
  <c r="H71" i="35"/>
  <c r="F71" i="35"/>
  <c r="E71" i="35"/>
  <c r="D71" i="35"/>
  <c r="C71" i="35"/>
  <c r="B71" i="35"/>
  <c r="A71" i="35"/>
  <c r="O70" i="35"/>
  <c r="N70" i="35"/>
  <c r="M70" i="35"/>
  <c r="L70" i="35"/>
  <c r="K70" i="35"/>
  <c r="J70" i="35"/>
  <c r="I70" i="35"/>
  <c r="H70" i="35"/>
  <c r="F70" i="35"/>
  <c r="E70" i="35"/>
  <c r="D70" i="35"/>
  <c r="C70" i="35"/>
  <c r="B70" i="35"/>
  <c r="A70" i="35"/>
  <c r="O69" i="35"/>
  <c r="N69" i="35"/>
  <c r="M69" i="35"/>
  <c r="L69" i="35"/>
  <c r="K69" i="35"/>
  <c r="J69" i="35"/>
  <c r="I69" i="35"/>
  <c r="H69" i="35"/>
  <c r="F69" i="35"/>
  <c r="E69" i="35"/>
  <c r="D69" i="35"/>
  <c r="C69" i="35"/>
  <c r="B69" i="35"/>
  <c r="A69" i="35"/>
  <c r="O68" i="35"/>
  <c r="N68" i="35"/>
  <c r="M68" i="35"/>
  <c r="L68" i="35"/>
  <c r="K68" i="35"/>
  <c r="J68" i="35"/>
  <c r="I68" i="35"/>
  <c r="H68" i="35"/>
  <c r="F68" i="35"/>
  <c r="E68" i="35"/>
  <c r="D68" i="35"/>
  <c r="C68" i="35"/>
  <c r="B68" i="35"/>
  <c r="A68" i="35"/>
  <c r="O67" i="35"/>
  <c r="N67" i="35"/>
  <c r="M67" i="35"/>
  <c r="L67" i="35"/>
  <c r="K67" i="35"/>
  <c r="J67" i="35"/>
  <c r="I67" i="35"/>
  <c r="H67" i="35"/>
  <c r="F67" i="35"/>
  <c r="E67" i="35"/>
  <c r="D67" i="35"/>
  <c r="C67" i="35"/>
  <c r="B67" i="35"/>
  <c r="A67" i="35"/>
  <c r="J66" i="35"/>
  <c r="I66" i="35"/>
  <c r="F66" i="35"/>
  <c r="E66" i="35"/>
  <c r="D66" i="35"/>
  <c r="C66" i="35"/>
  <c r="B66" i="35"/>
  <c r="A66" i="35"/>
  <c r="P65" i="35"/>
  <c r="N65" i="35"/>
  <c r="M65" i="35"/>
  <c r="L65" i="35"/>
  <c r="K65" i="35"/>
  <c r="J65" i="35"/>
  <c r="I65" i="35"/>
  <c r="H65" i="35"/>
  <c r="F65" i="35"/>
  <c r="E65" i="35"/>
  <c r="D65" i="35"/>
  <c r="C65" i="35"/>
  <c r="B65" i="35"/>
  <c r="A65" i="35"/>
  <c r="P64" i="35"/>
  <c r="O64" i="35"/>
  <c r="N64" i="35"/>
  <c r="M64" i="35"/>
  <c r="L64" i="35"/>
  <c r="K64" i="35"/>
  <c r="J64" i="35"/>
  <c r="I64" i="35"/>
  <c r="H64" i="35"/>
  <c r="F64" i="35"/>
  <c r="E64" i="35"/>
  <c r="D64" i="35"/>
  <c r="C64" i="35"/>
  <c r="B64" i="35"/>
  <c r="A64" i="35"/>
  <c r="P63" i="35"/>
  <c r="O63" i="35"/>
  <c r="N63" i="35"/>
  <c r="M63" i="35"/>
  <c r="L63" i="35"/>
  <c r="J63" i="35"/>
  <c r="I63" i="35"/>
  <c r="F63" i="35"/>
  <c r="E63" i="35"/>
  <c r="D63" i="35"/>
  <c r="C63" i="35"/>
  <c r="B63" i="35"/>
  <c r="A63" i="35"/>
  <c r="P62" i="35"/>
  <c r="O62" i="35"/>
  <c r="N62" i="35"/>
  <c r="M62" i="35"/>
  <c r="L62" i="35"/>
  <c r="J62" i="35"/>
  <c r="I62" i="35"/>
  <c r="F62" i="35"/>
  <c r="E62" i="35"/>
  <c r="D62" i="35"/>
  <c r="C62" i="35"/>
  <c r="B62" i="35"/>
  <c r="A62" i="35"/>
  <c r="P61" i="35"/>
  <c r="N61" i="35"/>
  <c r="M61" i="35"/>
  <c r="L61" i="35"/>
  <c r="K61" i="35"/>
  <c r="J61" i="35"/>
  <c r="I61" i="35"/>
  <c r="H61" i="35"/>
  <c r="F61" i="35"/>
  <c r="E61" i="35"/>
  <c r="D61" i="35"/>
  <c r="C61" i="35"/>
  <c r="B61" i="35"/>
  <c r="A61" i="35"/>
  <c r="P60" i="35"/>
  <c r="N60" i="35"/>
  <c r="M60" i="35"/>
  <c r="L60" i="35"/>
  <c r="K60" i="35"/>
  <c r="J60" i="35"/>
  <c r="I60" i="35"/>
  <c r="H60" i="35"/>
  <c r="F60" i="35"/>
  <c r="E60" i="35"/>
  <c r="D60" i="35"/>
  <c r="C60" i="35"/>
  <c r="B60" i="35"/>
  <c r="A60" i="35"/>
  <c r="O59" i="35"/>
  <c r="N59" i="35"/>
  <c r="M59" i="35"/>
  <c r="L59" i="35"/>
  <c r="K59" i="35"/>
  <c r="J59" i="35"/>
  <c r="I59" i="35"/>
  <c r="H59" i="35"/>
  <c r="F59" i="35"/>
  <c r="E59" i="35"/>
  <c r="D59" i="35"/>
  <c r="C59" i="35"/>
  <c r="B59" i="35"/>
  <c r="A59" i="35"/>
  <c r="P58" i="35"/>
  <c r="N58" i="35"/>
  <c r="M58" i="35"/>
  <c r="L58" i="35"/>
  <c r="K58" i="35"/>
  <c r="J58" i="35"/>
  <c r="I58" i="35"/>
  <c r="H58" i="35"/>
  <c r="F58" i="35"/>
  <c r="E58" i="35"/>
  <c r="D58" i="35"/>
  <c r="C58" i="35"/>
  <c r="B58" i="35"/>
  <c r="A58" i="35"/>
  <c r="P57" i="35"/>
  <c r="O57" i="35"/>
  <c r="N57" i="35"/>
  <c r="M57" i="35"/>
  <c r="L57" i="35"/>
  <c r="K57" i="35"/>
  <c r="J57" i="35"/>
  <c r="I57" i="35"/>
  <c r="H57" i="35"/>
  <c r="F57" i="35"/>
  <c r="E57" i="35"/>
  <c r="D57" i="35"/>
  <c r="C57" i="35"/>
  <c r="B57" i="35"/>
  <c r="A57" i="35"/>
  <c r="P56" i="35"/>
  <c r="N56" i="35"/>
  <c r="M56" i="35"/>
  <c r="L56" i="35"/>
  <c r="K56" i="35"/>
  <c r="J56" i="35"/>
  <c r="I56" i="35"/>
  <c r="H56" i="35"/>
  <c r="F56" i="35"/>
  <c r="E56" i="35"/>
  <c r="D56" i="35"/>
  <c r="C56" i="35"/>
  <c r="B56" i="35"/>
  <c r="A56" i="35"/>
  <c r="O55" i="35"/>
  <c r="N55" i="35"/>
  <c r="M55" i="35"/>
  <c r="L55" i="35"/>
  <c r="K55" i="35"/>
  <c r="J55" i="35"/>
  <c r="I55" i="35"/>
  <c r="H55" i="35"/>
  <c r="F55" i="35"/>
  <c r="E55" i="35"/>
  <c r="D55" i="35"/>
  <c r="C55" i="35"/>
  <c r="B55" i="35"/>
  <c r="A55" i="35"/>
  <c r="O54" i="35"/>
  <c r="N54" i="35"/>
  <c r="M54" i="35"/>
  <c r="L54" i="35"/>
  <c r="K54" i="35"/>
  <c r="J54" i="35"/>
  <c r="I54" i="35"/>
  <c r="H54" i="35"/>
  <c r="F54" i="35"/>
  <c r="E54" i="35"/>
  <c r="D54" i="35"/>
  <c r="C54" i="35"/>
  <c r="B54" i="35"/>
  <c r="A54" i="35"/>
  <c r="O53" i="35"/>
  <c r="N53" i="35"/>
  <c r="M53" i="35"/>
  <c r="L53" i="35"/>
  <c r="K53" i="35"/>
  <c r="J53" i="35"/>
  <c r="I53" i="35"/>
  <c r="H53" i="35"/>
  <c r="F53" i="35"/>
  <c r="E53" i="35"/>
  <c r="D53" i="35"/>
  <c r="C53" i="35"/>
  <c r="B53" i="35"/>
  <c r="A53" i="35"/>
  <c r="O52" i="35"/>
  <c r="N52" i="35"/>
  <c r="M52" i="35"/>
  <c r="L52" i="35"/>
  <c r="K52" i="35"/>
  <c r="J52" i="35"/>
  <c r="I52" i="35"/>
  <c r="H52" i="35"/>
  <c r="F52" i="35"/>
  <c r="E52" i="35"/>
  <c r="D52" i="35"/>
  <c r="C52" i="35"/>
  <c r="B52" i="35"/>
  <c r="A52" i="35"/>
  <c r="O51" i="35"/>
  <c r="N51" i="35"/>
  <c r="M51" i="35"/>
  <c r="L51" i="35"/>
  <c r="K51" i="35"/>
  <c r="J51" i="35"/>
  <c r="I51" i="35"/>
  <c r="H51" i="35"/>
  <c r="F51" i="35"/>
  <c r="E51" i="35"/>
  <c r="D51" i="35"/>
  <c r="C51" i="35"/>
  <c r="B51" i="35"/>
  <c r="A51" i="35"/>
  <c r="O50" i="35"/>
  <c r="N50" i="35"/>
  <c r="M50" i="35"/>
  <c r="L50" i="35"/>
  <c r="K50" i="35"/>
  <c r="J50" i="35"/>
  <c r="I50" i="35"/>
  <c r="H50" i="35"/>
  <c r="F50" i="35"/>
  <c r="E50" i="35"/>
  <c r="D50" i="35"/>
  <c r="C50" i="35"/>
  <c r="B50" i="35"/>
  <c r="A50" i="35"/>
  <c r="P49" i="35"/>
  <c r="O49" i="35"/>
  <c r="N49" i="35"/>
  <c r="M49" i="35"/>
  <c r="L49" i="35"/>
  <c r="K49" i="35"/>
  <c r="J49" i="35"/>
  <c r="H49" i="35"/>
  <c r="F49" i="35"/>
  <c r="E49" i="35"/>
  <c r="D49" i="35"/>
  <c r="C49" i="35"/>
  <c r="B49" i="35"/>
  <c r="A49" i="35"/>
  <c r="P48" i="35"/>
  <c r="O48" i="35"/>
  <c r="N48" i="35"/>
  <c r="M48" i="35"/>
  <c r="L48" i="35"/>
  <c r="K48" i="35"/>
  <c r="J48" i="35"/>
  <c r="H48" i="35"/>
  <c r="F48" i="35"/>
  <c r="E48" i="35"/>
  <c r="D48" i="35"/>
  <c r="C48" i="35"/>
  <c r="B48" i="35"/>
  <c r="A48" i="35"/>
  <c r="P47" i="35"/>
  <c r="O47" i="35"/>
  <c r="N47" i="35"/>
  <c r="M47" i="35"/>
  <c r="L47" i="35"/>
  <c r="K47" i="35"/>
  <c r="J47" i="35"/>
  <c r="F47" i="35"/>
  <c r="E47" i="35"/>
  <c r="D47" i="35"/>
  <c r="C47" i="35"/>
  <c r="B47" i="35"/>
  <c r="A47" i="35"/>
  <c r="P46" i="35"/>
  <c r="J46" i="35"/>
  <c r="H46" i="35"/>
  <c r="F46" i="35"/>
  <c r="E46" i="35"/>
  <c r="D46" i="35"/>
  <c r="C46" i="35"/>
  <c r="B46" i="35"/>
  <c r="A46" i="35"/>
  <c r="P45" i="35"/>
  <c r="J45" i="35"/>
  <c r="H45" i="35"/>
  <c r="F45" i="35"/>
  <c r="E45" i="35"/>
  <c r="D45" i="35"/>
  <c r="C45" i="35"/>
  <c r="B45" i="35"/>
  <c r="A45" i="35"/>
  <c r="P44" i="35"/>
  <c r="O44" i="35"/>
  <c r="N44" i="35"/>
  <c r="M44" i="35"/>
  <c r="L44" i="35"/>
  <c r="K44" i="35"/>
  <c r="J44" i="35"/>
  <c r="H44" i="35"/>
  <c r="F44" i="35"/>
  <c r="E44" i="35"/>
  <c r="D44" i="35"/>
  <c r="C44" i="35"/>
  <c r="B44" i="35"/>
  <c r="A44" i="35"/>
  <c r="P43" i="35"/>
  <c r="O43" i="35"/>
  <c r="N43" i="35"/>
  <c r="M43" i="35"/>
  <c r="L43" i="35"/>
  <c r="K43" i="35"/>
  <c r="J43" i="35"/>
  <c r="H43" i="35"/>
  <c r="F43" i="35"/>
  <c r="E43" i="35"/>
  <c r="D43" i="35"/>
  <c r="C43" i="35"/>
  <c r="B43" i="35"/>
  <c r="A43" i="35"/>
  <c r="P42" i="35"/>
  <c r="O42" i="35"/>
  <c r="N42" i="35"/>
  <c r="M42" i="35"/>
  <c r="L42" i="35"/>
  <c r="K42" i="35"/>
  <c r="J42" i="35"/>
  <c r="H42" i="35"/>
  <c r="F42" i="35"/>
  <c r="E42" i="35"/>
  <c r="D42" i="35"/>
  <c r="C42" i="35"/>
  <c r="B42" i="35"/>
  <c r="A42" i="35"/>
  <c r="P41" i="35"/>
  <c r="O41" i="35"/>
  <c r="N41" i="35"/>
  <c r="M41" i="35"/>
  <c r="L41" i="35"/>
  <c r="K41" i="35"/>
  <c r="J41" i="35"/>
  <c r="H41" i="35"/>
  <c r="F41" i="35"/>
  <c r="E41" i="35"/>
  <c r="D41" i="35"/>
  <c r="C41" i="35"/>
  <c r="B41" i="35"/>
  <c r="A41" i="35"/>
  <c r="P40" i="35"/>
  <c r="J40" i="35"/>
  <c r="H40" i="35"/>
  <c r="F40" i="35"/>
  <c r="E40" i="35"/>
  <c r="D40" i="35"/>
  <c r="C40" i="35"/>
  <c r="B40" i="35"/>
  <c r="A40" i="35"/>
  <c r="P39" i="35"/>
  <c r="J39" i="35"/>
  <c r="H39" i="35"/>
  <c r="F39" i="35"/>
  <c r="E39" i="35"/>
  <c r="D39" i="35"/>
  <c r="C39" i="35"/>
  <c r="B39" i="35"/>
  <c r="A39" i="35"/>
  <c r="P38" i="35"/>
  <c r="O38" i="35"/>
  <c r="N38" i="35"/>
  <c r="M38" i="35"/>
  <c r="L38" i="35"/>
  <c r="K38" i="35"/>
  <c r="J38" i="35"/>
  <c r="H38" i="35"/>
  <c r="F38" i="35"/>
  <c r="E38" i="35"/>
  <c r="D38" i="35"/>
  <c r="C38" i="35"/>
  <c r="B38" i="35"/>
  <c r="A38" i="35"/>
  <c r="O37" i="35"/>
  <c r="N37" i="35"/>
  <c r="M37" i="35"/>
  <c r="L37" i="35"/>
  <c r="K37" i="35"/>
  <c r="J37" i="35"/>
  <c r="I37" i="35"/>
  <c r="H37" i="35"/>
  <c r="F37" i="35"/>
  <c r="E37" i="35"/>
  <c r="D37" i="35"/>
  <c r="C37" i="35"/>
  <c r="B37" i="35"/>
  <c r="A37" i="35"/>
  <c r="J36" i="35"/>
  <c r="I36" i="35"/>
  <c r="H36" i="35"/>
  <c r="F36" i="35"/>
  <c r="E36" i="35"/>
  <c r="D36" i="35"/>
  <c r="C36" i="35"/>
  <c r="B36" i="35"/>
  <c r="A36" i="35"/>
  <c r="P35" i="35"/>
  <c r="O35" i="35"/>
  <c r="N35" i="35"/>
  <c r="M35" i="35"/>
  <c r="L35" i="35"/>
  <c r="K35" i="35"/>
  <c r="J35" i="35"/>
  <c r="I35" i="35"/>
  <c r="H35" i="35"/>
  <c r="F35" i="35"/>
  <c r="E35" i="35"/>
  <c r="D35" i="35"/>
  <c r="C35" i="35"/>
  <c r="B35" i="35"/>
  <c r="A35" i="35"/>
  <c r="P34" i="35"/>
  <c r="O34" i="35"/>
  <c r="N34" i="35"/>
  <c r="M34" i="35"/>
  <c r="L34" i="35"/>
  <c r="K34" i="35"/>
  <c r="J34" i="35"/>
  <c r="I34" i="35"/>
  <c r="H34" i="35"/>
  <c r="F34" i="35"/>
  <c r="E34" i="35"/>
  <c r="D34" i="35"/>
  <c r="C34" i="35"/>
  <c r="B34" i="35"/>
  <c r="A34" i="35"/>
  <c r="P33" i="35"/>
  <c r="O33" i="35"/>
  <c r="N33" i="35"/>
  <c r="M33" i="35"/>
  <c r="L33" i="35"/>
  <c r="K33" i="35"/>
  <c r="J33" i="35"/>
  <c r="I33" i="35"/>
  <c r="H33" i="35"/>
  <c r="F33" i="35"/>
  <c r="E33" i="35"/>
  <c r="D33" i="35"/>
  <c r="C33" i="35"/>
  <c r="B33" i="35"/>
  <c r="A33" i="35"/>
  <c r="P32" i="35"/>
  <c r="O32" i="35"/>
  <c r="N32" i="35"/>
  <c r="M32" i="35"/>
  <c r="L32" i="35"/>
  <c r="K32" i="35"/>
  <c r="J32" i="35"/>
  <c r="I32" i="35"/>
  <c r="H32" i="35"/>
  <c r="F32" i="35"/>
  <c r="E32" i="35"/>
  <c r="D32" i="35"/>
  <c r="C32" i="35"/>
  <c r="B32" i="35"/>
  <c r="A32" i="35"/>
  <c r="P31" i="35"/>
  <c r="O31" i="35"/>
  <c r="N31" i="35"/>
  <c r="M31" i="35"/>
  <c r="L31" i="35"/>
  <c r="K31" i="35"/>
  <c r="J31" i="35"/>
  <c r="I31" i="35"/>
  <c r="H31" i="35"/>
  <c r="F31" i="35"/>
  <c r="E31" i="35"/>
  <c r="D31" i="35"/>
  <c r="C31" i="35"/>
  <c r="B31" i="35"/>
  <c r="A31" i="35"/>
  <c r="O30" i="35"/>
  <c r="N30" i="35"/>
  <c r="M30" i="35"/>
  <c r="L30" i="35"/>
  <c r="K30" i="35"/>
  <c r="J30" i="35"/>
  <c r="I30" i="35"/>
  <c r="H30" i="35"/>
  <c r="F30" i="35"/>
  <c r="E30" i="35"/>
  <c r="D30" i="35"/>
  <c r="C30" i="35"/>
  <c r="B30" i="35"/>
  <c r="A30" i="35"/>
  <c r="O29" i="35"/>
  <c r="N29" i="35"/>
  <c r="M29" i="35"/>
  <c r="L29" i="35"/>
  <c r="K29" i="35"/>
  <c r="J29" i="35"/>
  <c r="I29" i="35"/>
  <c r="H29" i="35"/>
  <c r="F29" i="35"/>
  <c r="E29" i="35"/>
  <c r="D29" i="35"/>
  <c r="C29" i="35"/>
  <c r="B29" i="35"/>
  <c r="A29" i="35"/>
  <c r="P28" i="35"/>
  <c r="O28" i="35"/>
  <c r="N28" i="35"/>
  <c r="M28" i="35"/>
  <c r="L28" i="35"/>
  <c r="K28" i="35"/>
  <c r="J28" i="35"/>
  <c r="I28" i="35"/>
  <c r="H28" i="35"/>
  <c r="F28" i="35"/>
  <c r="E28" i="35"/>
  <c r="D28" i="35"/>
  <c r="C28" i="35"/>
  <c r="B28" i="35"/>
  <c r="A28" i="35"/>
  <c r="O27" i="35"/>
  <c r="N27" i="35"/>
  <c r="M27" i="35"/>
  <c r="L27" i="35"/>
  <c r="K27" i="35"/>
  <c r="J27" i="35"/>
  <c r="I27" i="35"/>
  <c r="H27" i="35"/>
  <c r="F27" i="35"/>
  <c r="E27" i="35"/>
  <c r="D27" i="35"/>
  <c r="C27" i="35"/>
  <c r="B27" i="35"/>
  <c r="A27" i="35"/>
  <c r="N26" i="35"/>
  <c r="M26" i="35"/>
  <c r="K26" i="35"/>
  <c r="I26" i="35"/>
  <c r="F26" i="35"/>
  <c r="E26" i="35"/>
  <c r="D26" i="35"/>
  <c r="C26" i="35"/>
  <c r="B26" i="35"/>
  <c r="N25" i="35"/>
  <c r="M25" i="35"/>
  <c r="K25" i="35"/>
  <c r="I25" i="35"/>
  <c r="F25" i="35"/>
  <c r="E25" i="35"/>
  <c r="D25" i="35"/>
  <c r="C25" i="35"/>
  <c r="B25" i="35"/>
  <c r="N24" i="35"/>
  <c r="K24" i="35"/>
  <c r="I24" i="35"/>
  <c r="F24" i="35"/>
  <c r="E24" i="35"/>
  <c r="D24" i="35"/>
  <c r="C24" i="35"/>
  <c r="B24" i="35"/>
  <c r="O23" i="35"/>
  <c r="N23" i="35"/>
  <c r="M23" i="35"/>
  <c r="L23" i="35"/>
  <c r="K23" i="35"/>
  <c r="I23" i="35"/>
  <c r="H23" i="35"/>
  <c r="F23" i="35"/>
  <c r="E23" i="35"/>
  <c r="D23" i="35"/>
  <c r="B23" i="35"/>
  <c r="A23" i="35"/>
  <c r="P22" i="35"/>
  <c r="K22" i="35"/>
  <c r="I22" i="35"/>
  <c r="H22" i="35"/>
  <c r="F22" i="35"/>
  <c r="E22" i="35"/>
  <c r="D22" i="35"/>
  <c r="B22" i="35"/>
  <c r="A22" i="35"/>
  <c r="O21" i="35"/>
  <c r="N21" i="35"/>
  <c r="M21" i="35"/>
  <c r="L21" i="35"/>
  <c r="K21" i="35"/>
  <c r="I21" i="35"/>
  <c r="H21" i="35"/>
  <c r="F21" i="35"/>
  <c r="E21" i="35"/>
  <c r="D21" i="35"/>
  <c r="B21" i="35"/>
  <c r="A21" i="35"/>
  <c r="O20" i="35"/>
  <c r="N20" i="35"/>
  <c r="M20" i="35"/>
  <c r="L20" i="35"/>
  <c r="K20" i="35"/>
  <c r="I20" i="35"/>
  <c r="H20" i="35"/>
  <c r="F20" i="35"/>
  <c r="E20" i="35"/>
  <c r="D20" i="35"/>
  <c r="B20" i="35"/>
  <c r="A20" i="35"/>
  <c r="O19" i="35"/>
  <c r="N19" i="35"/>
  <c r="M19" i="35"/>
  <c r="L19" i="35"/>
  <c r="K19" i="35"/>
  <c r="J19" i="35"/>
  <c r="I19" i="35"/>
  <c r="H19" i="35"/>
  <c r="F19" i="35"/>
  <c r="E19" i="35"/>
  <c r="D19" i="35"/>
  <c r="C19" i="35"/>
  <c r="B19" i="35"/>
  <c r="A19" i="35"/>
  <c r="O18" i="35"/>
  <c r="N18" i="35"/>
  <c r="M18" i="35"/>
  <c r="L18" i="35"/>
  <c r="K18" i="35"/>
  <c r="J18" i="35"/>
  <c r="I18" i="35"/>
  <c r="H18" i="35"/>
  <c r="F18" i="35"/>
  <c r="E18" i="35"/>
  <c r="D18" i="35"/>
  <c r="C18" i="35"/>
  <c r="B18" i="35"/>
  <c r="A18" i="35"/>
  <c r="I17" i="35"/>
  <c r="H17" i="35"/>
  <c r="F17" i="35"/>
  <c r="E17" i="35"/>
  <c r="D17" i="35"/>
  <c r="C17" i="35"/>
  <c r="B17" i="35"/>
  <c r="A17" i="35"/>
  <c r="P16" i="35"/>
  <c r="I16" i="35"/>
  <c r="H16" i="35"/>
  <c r="F16" i="35"/>
  <c r="E16" i="35"/>
  <c r="D16" i="35"/>
  <c r="C16" i="35"/>
  <c r="B16" i="35"/>
  <c r="A16" i="35"/>
  <c r="P15" i="35"/>
  <c r="I15" i="35"/>
  <c r="H15" i="35"/>
  <c r="F15" i="35"/>
  <c r="E15" i="35"/>
  <c r="D15" i="35"/>
  <c r="C15" i="35"/>
  <c r="B15" i="35"/>
  <c r="A15" i="35"/>
  <c r="O14" i="35"/>
  <c r="N14" i="35"/>
  <c r="M14" i="35"/>
  <c r="L14" i="35"/>
  <c r="K14" i="35"/>
  <c r="J14" i="35"/>
  <c r="I14" i="35"/>
  <c r="H14" i="35"/>
  <c r="F14" i="35"/>
  <c r="E14" i="35"/>
  <c r="D14" i="35"/>
  <c r="C14" i="35"/>
  <c r="B14" i="35"/>
  <c r="A14" i="35"/>
  <c r="O13" i="35"/>
  <c r="N13" i="35"/>
  <c r="M13" i="35"/>
  <c r="L13" i="35"/>
  <c r="K13" i="35"/>
  <c r="J13" i="35"/>
  <c r="I13" i="35"/>
  <c r="H13" i="35"/>
  <c r="F13" i="35"/>
  <c r="E13" i="35"/>
  <c r="D13" i="35"/>
  <c r="C13" i="35"/>
  <c r="B13" i="35"/>
  <c r="A13" i="35"/>
  <c r="P12" i="35"/>
  <c r="O12" i="35"/>
  <c r="N12" i="35"/>
  <c r="M12" i="35"/>
  <c r="L12" i="35"/>
  <c r="K12" i="35"/>
  <c r="J12" i="35"/>
  <c r="I12" i="35"/>
  <c r="H12" i="35"/>
  <c r="F12" i="35"/>
  <c r="E12" i="35"/>
  <c r="D12" i="35"/>
  <c r="C12" i="35"/>
  <c r="B12" i="35"/>
  <c r="A12" i="35"/>
  <c r="O11" i="35"/>
  <c r="N11" i="35"/>
  <c r="M11" i="35"/>
  <c r="L11" i="35"/>
  <c r="K11" i="35"/>
  <c r="J11" i="35"/>
  <c r="I11" i="35"/>
  <c r="H11" i="35"/>
  <c r="F11" i="35"/>
  <c r="E11" i="35"/>
  <c r="D11" i="35"/>
  <c r="C11" i="35"/>
  <c r="B11" i="35"/>
  <c r="A11" i="35"/>
  <c r="P10" i="35"/>
  <c r="O10" i="35"/>
  <c r="N10" i="35"/>
  <c r="M10" i="35"/>
  <c r="L10" i="35"/>
  <c r="K10" i="35"/>
  <c r="J10" i="35"/>
  <c r="I10" i="35"/>
  <c r="H10" i="35"/>
  <c r="F10" i="35"/>
  <c r="E10" i="35"/>
  <c r="D10" i="35"/>
  <c r="C10" i="35"/>
  <c r="B10" i="35"/>
  <c r="A10" i="35"/>
  <c r="P9" i="35"/>
  <c r="O9" i="35"/>
  <c r="N9" i="35"/>
  <c r="M9" i="35"/>
  <c r="L9" i="35"/>
  <c r="K9" i="35"/>
  <c r="J9" i="35"/>
  <c r="I9" i="35"/>
  <c r="H9" i="35"/>
  <c r="F9" i="35"/>
  <c r="E9" i="35"/>
  <c r="D9" i="35"/>
  <c r="C9" i="35"/>
  <c r="B9" i="35"/>
  <c r="A9" i="35"/>
  <c r="O8" i="35"/>
  <c r="N8" i="35"/>
  <c r="M8" i="35"/>
  <c r="L8" i="35"/>
  <c r="K8" i="35"/>
  <c r="J8" i="35"/>
  <c r="I8" i="35"/>
  <c r="H8" i="35"/>
  <c r="E8" i="35"/>
  <c r="D8" i="35"/>
  <c r="B8" i="35"/>
  <c r="A8" i="35"/>
  <c r="J7" i="35"/>
  <c r="I7" i="35"/>
  <c r="H7" i="35"/>
  <c r="G7" i="35"/>
  <c r="F7" i="35"/>
  <c r="E7" i="35"/>
  <c r="D7" i="35"/>
  <c r="B7" i="35"/>
  <c r="A7" i="35"/>
  <c r="P6" i="35"/>
  <c r="O6" i="35"/>
  <c r="N6" i="35"/>
  <c r="M6" i="35"/>
  <c r="L6" i="35"/>
  <c r="K6" i="35"/>
  <c r="J6" i="35"/>
  <c r="I6" i="35"/>
  <c r="H6" i="35"/>
  <c r="F6" i="35"/>
  <c r="E6" i="35"/>
  <c r="D6" i="35"/>
  <c r="B6" i="35"/>
  <c r="A6" i="35"/>
  <c r="O5" i="35"/>
  <c r="N5" i="35"/>
  <c r="M5" i="35"/>
  <c r="L5" i="35"/>
  <c r="K5" i="35"/>
  <c r="J5" i="35"/>
  <c r="I5" i="35"/>
  <c r="H5" i="35"/>
  <c r="F5" i="35"/>
  <c r="E5" i="35"/>
  <c r="D5" i="35"/>
  <c r="B5" i="35"/>
  <c r="A5" i="35"/>
  <c r="O4" i="35"/>
  <c r="N4" i="35"/>
  <c r="M4" i="35"/>
  <c r="L4" i="35"/>
  <c r="K4" i="35"/>
  <c r="J4" i="35"/>
  <c r="I4" i="35"/>
  <c r="H4" i="35"/>
  <c r="F4" i="35"/>
  <c r="E4" i="35"/>
  <c r="D4" i="35"/>
  <c r="B4" i="35"/>
  <c r="A4" i="35"/>
  <c r="O3" i="35"/>
  <c r="N3" i="35"/>
  <c r="M3" i="35"/>
  <c r="L3" i="35"/>
  <c r="K3" i="35"/>
  <c r="J3" i="35"/>
  <c r="I3" i="35"/>
  <c r="H3" i="35"/>
  <c r="E3" i="35"/>
  <c r="D3" i="35"/>
  <c r="B3" i="35"/>
  <c r="A3" i="35"/>
  <c r="P2" i="35"/>
  <c r="O2" i="35"/>
  <c r="N2" i="35"/>
  <c r="M2" i="35"/>
  <c r="L2" i="35"/>
  <c r="K2" i="35"/>
  <c r="J2" i="35"/>
  <c r="I2" i="35"/>
  <c r="H2" i="35"/>
  <c r="G2" i="35"/>
  <c r="F2" i="35"/>
  <c r="E2" i="35"/>
  <c r="D2" i="35"/>
  <c r="C2" i="35"/>
  <c r="B2" i="35"/>
  <c r="A2" i="35"/>
  <c r="A1" i="35"/>
  <c r="A1" i="34" l="1"/>
  <c r="E45" i="13" l="1"/>
  <c r="E45" i="13"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ALR</author>
  </authors>
  <commentList>
    <comment ref="E30" authorId="0" shapeId="0" xr:uid="{BA488040-2E3A-4F09-B2E9-AD6461112AE3}">
      <text>
        <r>
          <rPr>
            <b/>
            <sz val="9"/>
            <color indexed="81"/>
            <rFont val="Tahoma"/>
            <family val="2"/>
          </rPr>
          <t>ALR:</t>
        </r>
        <r>
          <rPr>
            <sz val="9"/>
            <color indexed="81"/>
            <rFont val="Tahoma"/>
            <family val="2"/>
          </rPr>
          <t xml:space="preserve">
Below are respnses used in scoring the indicator:
1. Protection from hazards  (contamination from explosive hazards, land at risk of flooding or landslides, solid waste dumping site, fire risks, etc.) 
2. Improve security of tenure
3. Improve safety and security (shelter located in an insecure/ isolated area, shelter not solid enough to offer protection from intruders, not fenced, etc.)
4. Improve privacy and dignity (no separate rooms, not enough space, shared facilities such as toilets &amp; showers, low/high ceilings, lack of ventilation, lack of natural lighting)
5. Protect from climatic conditions (leaking roof, floor not insulated, opening on the walls, broken windows, lack of ventilation, missing heating system, etc.) 
6. Improve basic infrastructures and utilities (access to electricity, cooking and bathing/toilet  facilities)
7. Improve structural stability of the building (signs of failure such as leaning walls, big cracks and bends in structural components  - beam, slab, column, rafter, purlin and wall)
8. No improvements needed (my shelter is good as it is)
9. Other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ALR</author>
  </authors>
  <commentList>
    <comment ref="E30" authorId="0" shapeId="0" xr:uid="{36968B50-73A5-48DF-9084-E7D84CCCEFC4}">
      <text>
        <r>
          <rPr>
            <b/>
            <sz val="9"/>
            <color indexed="81"/>
            <rFont val="Tahoma"/>
            <family val="2"/>
          </rPr>
          <t>ALR:</t>
        </r>
        <r>
          <rPr>
            <sz val="9"/>
            <color indexed="81"/>
            <rFont val="Tahoma"/>
            <family val="2"/>
          </rPr>
          <t xml:space="preserve">
Below are respnses used in scoring the indicator:
1. Protection from hazards  (contamination from explosive hazards, land at risk of flooding or landslides, solid waste dumping site, fire risks, etc.) 
2. Improve security of tenure
3. Improve safety and security (shelter located in an insecure/ isolated area, shelter not solid enough to offer protection from intruders, not fenced, etc.)
4. Improve privacy and dignity (no separate rooms, not enough space, shared facilities such as toilets &amp; showers, low/high ceilings, lack of ventilation, lack of natural lighting)
5. Protect from climatic conditions (leaking roof, floor not insulated, opening on the walls, broken windows, lack of ventilation, missing heating system, etc.) 
6. Improve basic infrastructures and utilities (access to electricity, cooking and bathing/toilet  facilities)
7. Improve structural stability of the building (signs of failure such as leaning walls, big cracks and bends in structural components  - beam, slab, column, rafter, purlin and wall)
8. No improvements needed (my shelter is good as it is)
9. Other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ALR</author>
  </authors>
  <commentList>
    <comment ref="C10" authorId="0" shapeId="0" xr:uid="{510F0E62-A9D9-452F-8606-631BA3123698}">
      <text>
        <r>
          <rPr>
            <b/>
            <sz val="9"/>
            <color indexed="81"/>
            <rFont val="Tahoma"/>
            <family val="2"/>
          </rPr>
          <t>ALR:</t>
        </r>
        <r>
          <rPr>
            <sz val="9"/>
            <color indexed="81"/>
            <rFont val="Tahoma"/>
            <family val="2"/>
          </rPr>
          <t xml:space="preserve">
Below are respnses used in scoring the indicator:
1. Protection from hazards  (contamination from explosive hazards, land at risk of flooding or landslides, solid waste dumping site, fire risks, etc.) 
2. Improve security of tenure
3. Improve safety and security (shelter located in an insecure/ isolated area, shelter not solid enough to offer protection from intruders, not fenced, etc.)
4. Improve privacy and dignity (no separate rooms, not enough space, shared facilities such as toilets &amp; showers, low/high ceilings, lack of ventilation, lack of natural lighting)
5. Protect from climatic conditions (leaking roof, floor not insulated, opening on the walls, broken windows, lack of ventilation, missing heating system, etc.) 
6. Improve basic infrastructures and utilities (access to electricity, cooking and bathing/toilet  facilities)
7. Improve structural stability of the building (signs of failure such as leaning walls, big cracks and bends in structural components  - beam, slab, column, rafter, purlin and wall)
8. No improvements needed (my shelter is good as it is)
9. Other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<sst xmlns="http://schemas.openxmlformats.org/spreadsheetml/2006/main" count="5188" uniqueCount="2239">
  <si>
    <t>Protection - CP</t>
  </si>
  <si>
    <t>Protection - GBV</t>
  </si>
  <si>
    <t>Protection - HLP</t>
  </si>
  <si>
    <t>?</t>
  </si>
  <si>
    <t xml:space="preserve">Health </t>
  </si>
  <si>
    <t xml:space="preserve">WASH </t>
  </si>
  <si>
    <t>CCCM</t>
  </si>
  <si>
    <t xml:space="preserve">Education </t>
  </si>
  <si>
    <t xml:space="preserve">CWG </t>
  </si>
  <si>
    <t>N/A</t>
  </si>
  <si>
    <t xml:space="preserve">N/A </t>
  </si>
  <si>
    <t xml:space="preserve">Cluster </t>
  </si>
  <si>
    <t xml:space="preserve">Protection </t>
  </si>
  <si>
    <t xml:space="preserve">FSC </t>
  </si>
  <si>
    <t>Education</t>
  </si>
  <si>
    <t xml:space="preserve">Protection - MA </t>
  </si>
  <si>
    <t xml:space="preserve">Protection - HLP </t>
  </si>
  <si>
    <t>yes</t>
  </si>
  <si>
    <t>no</t>
  </si>
  <si>
    <t xml:space="preserve">yes </t>
  </si>
  <si>
    <t>Yes</t>
  </si>
  <si>
    <t>% of IDP HHs not intending to return to their AoO due to EH contamination</t>
  </si>
  <si>
    <t>District</t>
  </si>
  <si>
    <t>% HHs experiencing daytime movement restrictions</t>
  </si>
  <si>
    <t>n/a</t>
  </si>
  <si>
    <t>% locations where basic food or non-food items have been unaffordable in the 30 days prior for the average household</t>
  </si>
  <si>
    <t>% locations where the primary source of livelihoods in unstable or low paid wage labour</t>
  </si>
  <si>
    <t>% of IDP HHs not intending to return due to HLP issues (damage/destruction, secondary occupation or unresolved HLP ownership issues)</t>
  </si>
  <si>
    <t>% of locations where mines or UXOs are reported to be present</t>
  </si>
  <si>
    <t>% HHs reporting at least 2 shelter improvements</t>
  </si>
  <si>
    <t>% locations where more than half of shelters reported to be damaged or in need of repair</t>
  </si>
  <si>
    <t>% locations where households are without access to electricity</t>
  </si>
  <si>
    <t>% of displaced people compared to population of Iraq</t>
  </si>
  <si>
    <t>% of returnees to host governorate population</t>
  </si>
  <si>
    <t xml:space="preserve">% of locations without access to waste collection or communal garbage bins </t>
  </si>
  <si>
    <t xml:space="preserve">Response Options </t>
  </si>
  <si>
    <t xml:space="preserve">Indicator </t>
  </si>
  <si>
    <t>MCNA VII</t>
  </si>
  <si>
    <t xml:space="preserve">MCNA VII </t>
  </si>
  <si>
    <t>CWG</t>
  </si>
  <si>
    <t xml:space="preserve">Disability </t>
  </si>
  <si>
    <t>% of informal sites with identified critical service gaps in informal settlements</t>
  </si>
  <si>
    <t>Projected # of people remaining in camps</t>
  </si>
  <si>
    <t># camps projected to remain open per district</t>
  </si>
  <si>
    <t>% camps with identified critical service gaps in formal settlements</t>
  </si>
  <si>
    <t>Emerg. Livelihoods</t>
  </si>
  <si>
    <t>Protection - GP</t>
  </si>
  <si>
    <t>% of HHs at risk of eviction</t>
  </si>
  <si>
    <t>SNFI</t>
  </si>
  <si>
    <t>IDPs in camps</t>
  </si>
  <si>
    <t>IDPs in renting</t>
  </si>
  <si>
    <t>IDPs in host families</t>
  </si>
  <si>
    <t>IDPs in informal settlements</t>
  </si>
  <si>
    <t>IDPs in UAB</t>
  </si>
  <si>
    <t>IDPs in collective centres</t>
  </si>
  <si>
    <t>Returnees in habitual residence</t>
  </si>
  <si>
    <t>Returnees in critical shelter</t>
  </si>
  <si>
    <t>MCNA VII/Camp Profile</t>
  </si>
  <si>
    <t>% locations with a functional primary and secondary school, or within 5km distance away</t>
  </si>
  <si>
    <t xml:space="preserve">% of HH with debt value &gt; 505,000 IQD </t>
  </si>
  <si>
    <t>x</t>
  </si>
  <si>
    <t>MCNA VII as primary source [PiN indicator: % HHs able to access healthcare], but ILA to triangulate which locations in the district may need to be prioritsed for intervention</t>
  </si>
  <si>
    <t>ILA IV</t>
  </si>
  <si>
    <t xml:space="preserve">ILA IV </t>
  </si>
  <si>
    <t>Information needs and preferences from aid providers - who/where</t>
  </si>
  <si>
    <t xml:space="preserve">Information needs and preferences from aid providers - what  </t>
  </si>
  <si>
    <t>Information needs and preferences from aid providers - means</t>
  </si>
  <si>
    <t xml:space="preserve">% HH reporting to have received aid </t>
  </si>
  <si>
    <t xml:space="preserve">% HH satsified with aid received </t>
  </si>
  <si>
    <t xml:space="preserve">% HH not satisifed with aid worker behavior </t>
  </si>
  <si>
    <t xml:space="preserve">% HH feeling they have a say in decisions affecting their community </t>
  </si>
  <si>
    <t>DTM ML Round 110</t>
  </si>
  <si>
    <t>Population - IDPs</t>
  </si>
  <si>
    <t xml:space="preserve">Population - Returns </t>
  </si>
  <si>
    <t>% of people living under critical shelter conditions (aggregated indicator)</t>
  </si>
  <si>
    <t xml:space="preserve">% HH with acces/knowledge of complaint mechanisms </t>
  </si>
  <si>
    <t>% of IDP HHs that intend to remain in their current location for the next three months</t>
  </si>
  <si>
    <t>% of IDP HHs that intend to remain in their current location for the next twelve months</t>
  </si>
  <si>
    <t>% of returnee HHs that intend to remain in their current location for the next three months</t>
  </si>
  <si>
    <t>% of returnee HHs that intend to remain in their current location for the next twelve months</t>
  </si>
  <si>
    <t>% of [male/female] family members</t>
  </si>
  <si>
    <t>% of [children/adult/elderly] family members</t>
  </si>
  <si>
    <t>% locations where the primary source of drinking water is acceptable in terms of colour, taste, and smell</t>
  </si>
  <si>
    <t xml:space="preserve">% HH with access to a functional health clinic within 5km </t>
  </si>
  <si>
    <t>% of single female headed HHs</t>
  </si>
  <si>
    <t xml:space="preserve">CDI Code </t>
  </si>
  <si>
    <t>B.3.1 (HH)</t>
  </si>
  <si>
    <t>D.1.1 (KI)</t>
  </si>
  <si>
    <t>A.2.1 (HH)</t>
  </si>
  <si>
    <t>A.1.1 (HH)</t>
  </si>
  <si>
    <t>A.13.4 (HH)</t>
  </si>
  <si>
    <t>E.2</t>
  </si>
  <si>
    <t>B.12.1</t>
  </si>
  <si>
    <t xml:space="preserve">L.4 and L.5 or K.6 and K.7 </t>
  </si>
  <si>
    <t xml:space="preserve">F.8 or A.11 </t>
  </si>
  <si>
    <t>J.1.1, J.1.2</t>
  </si>
  <si>
    <t>J.4.1.</t>
  </si>
  <si>
    <t>J.5.1</t>
  </si>
  <si>
    <t>J.8.5</t>
  </si>
  <si>
    <t>K.12.1 (HH)</t>
  </si>
  <si>
    <t>K.12.3 (HH)</t>
  </si>
  <si>
    <t>K.8 (HH)</t>
  </si>
  <si>
    <t>F1-7 (HH)</t>
  </si>
  <si>
    <t>F.2 (KI)</t>
  </si>
  <si>
    <t>K.1 (KI)</t>
  </si>
  <si>
    <t>G.1. (HH)</t>
  </si>
  <si>
    <t>G.2. (HH)</t>
  </si>
  <si>
    <t>G.12-G.17 (HH)</t>
  </si>
  <si>
    <t xml:space="preserve">G.10 </t>
  </si>
  <si>
    <t>% of HH with members unable to access one or more services due to disability</t>
  </si>
  <si>
    <t xml:space="preserve">Primary reason why services are inaccesible to persons with disabilities </t>
  </si>
  <si>
    <t xml:space="preserve">If yes, what is the main reason preventing them to access services? </t>
  </si>
  <si>
    <t xml:space="preserve">o No difficulty  
o Yes, some difficulty 
o Yes, a lot of difficulty
o Cannot do at all </t>
  </si>
  <si>
    <t>O.1.1.</t>
  </si>
  <si>
    <t>O.1.2.</t>
  </si>
  <si>
    <t>O.1.3.</t>
  </si>
  <si>
    <t>O.1.4.</t>
  </si>
  <si>
    <t>O.1.5.</t>
  </si>
  <si>
    <t>O.1.6.</t>
  </si>
  <si>
    <t xml:space="preserve">O.2.1. </t>
  </si>
  <si>
    <t>O.2.2.</t>
  </si>
  <si>
    <t>N.1.1.</t>
  </si>
  <si>
    <t>N.1.2.</t>
  </si>
  <si>
    <t>N.1.3.</t>
  </si>
  <si>
    <t>N.3.3.</t>
  </si>
  <si>
    <t>N.3.4</t>
  </si>
  <si>
    <t>N.4.1</t>
  </si>
  <si>
    <t>N.5.1</t>
  </si>
  <si>
    <t>CP, Pop. Flow</t>
  </si>
  <si>
    <t>% of displaced people in organized/structured camps per district</t>
  </si>
  <si>
    <t xml:space="preserve"># of displaced in organized/structured camps </t>
  </si>
  <si>
    <t>I.2.2</t>
  </si>
  <si>
    <t>I.2.1</t>
  </si>
  <si>
    <t>- House
- Apartment
- Hotel
- Unfinished or abandoned residential building
- Damaged residential building
- Tent
- Religious building
- Public building (school, etc.)
- Non-residential structure (garage, farm house, shop)
- Container
- Makeshift shelter (with scavenged materials)
- Other (specify)</t>
  </si>
  <si>
    <t>H.3.1-H.3.2</t>
  </si>
  <si>
    <t>H.2.1-H.2.5</t>
  </si>
  <si>
    <t>H.5.1-H.5.4</t>
  </si>
  <si>
    <t>H.10-H.11</t>
  </si>
  <si>
    <t>H.7, H.8.1, H.8.2</t>
  </si>
  <si>
    <t>Question(s)</t>
  </si>
  <si>
    <t>1.What are your household's current movement intentions for the next three months?
2.What are your household's current movement intentions for the next twelve months?</t>
  </si>
  <si>
    <t>What are your household's current movement intentions for the next three months?</t>
  </si>
  <si>
    <t>What are your household's current movement intentions for the next twelve months?</t>
  </si>
  <si>
    <t xml:space="preserve">What are your household's current movement intentions for the next twelve months? </t>
  </si>
  <si>
    <t>Safety and security
Status of housing
Livelihoods
Water services
Electricity services
Education
Healthcare
Humanitarian assistance
Legal services
House, land and property services
Explosive hazards clearance (mines, bombs, IEDs)
Renewing official documentation
I do not want to receive information
Other</t>
  </si>
  <si>
    <t>Friends and family living in the AoO
Friends and family that visited the AoO in the past 30 days
Friends and family that have not been in the AoO
Local authorities
National authorities
NGO&amp;humanitarian actors
Religious leaders
Mukhtars
Sector leaders
Schools and community centres
Others</t>
  </si>
  <si>
    <t>What is your preferred mode of receiving the information (top 3)?</t>
  </si>
  <si>
    <t>Direct observation
Face-to-face communication (eg from friends)
Television
Telephone/mobile phone (voice call)
Mobile phone (text SMS)
Facebook (app)
Facebook (messenger)
Whatsapp
Viber
Other social networks (skype, instagram, twitter)
Notice boards and posters
Newspapers and magazines
Printed leaflet
Loud speakers
Radio
Others</t>
  </si>
  <si>
    <t xml:space="preserve">Have you received aid in the past 30 days? </t>
  </si>
  <si>
    <t xml:space="preserve">If you have received aid in the last 30 days, are you satisfied with the aid you received? </t>
  </si>
  <si>
    <t xml:space="preserve">If you have received aid in the last 30 days and were not satisfied, why were you not satisfied with the aid received? </t>
  </si>
  <si>
    <t>Quality not good enough
Quantity not enough
Delays in delivery of aid
Other</t>
  </si>
  <si>
    <t>Are you satisfied with the way aid workers have behaved in the last 6 months in your location?</t>
  </si>
  <si>
    <t>Yes 
No
Do not know 
Do no want to answer</t>
  </si>
  <si>
    <t>Are you aware of how to access complaint mechanisms?</t>
  </si>
  <si>
    <t xml:space="preserve">Do you feel like you have a say in decisions that affect you community? </t>
  </si>
  <si>
    <t>Yes
No
Decline to answer
Do not want to answer</t>
  </si>
  <si>
    <t>1. How far is the closest functioning primary school to your location? 
2. How far is the closest functioning secondary school to your location?</t>
  </si>
  <si>
    <t>1. Integer
2. Purchased with food vouchers / PDS; Purchased with own cash; Purchased with cash assistance; Receive in-kind for labor or other items; Food assistance from government; Purchased on credit (debt); Gift of food from family or friends; Own production (including hunting, fishing, gathering); food assistance form UN or international organizations; Begging; Food assistance from local charity or community; Other
3. Integer</t>
  </si>
  <si>
    <t>1.Has the child (under 5 years old) been vaccinated against Polio? 
2.Has the child (under 5 years old) been vaccinated against Measles?
3.Has the person (under 2 years old) been vaccinated against Penta 3?</t>
  </si>
  <si>
    <t xml:space="preserve">How far is the closest functioning, accessible clinic to your location? </t>
  </si>
  <si>
    <t xml:space="preserve">How far is the closest functioning, accessible hospital to your location? </t>
  </si>
  <si>
    <t>What is your household's total amount of debt, in IQD?</t>
  </si>
  <si>
    <t>Integer</t>
  </si>
  <si>
    <t>What is the primary reason behind taking on debt?</t>
  </si>
  <si>
    <t>Basic household expenditures;
Healthcare;
Food; 
Educatoin; 
Clothing or NFIs; 
Purchasing productive assets for small business or income-generating activities</t>
  </si>
  <si>
    <t>In the past month, has anyone in your HH experienced one of the following restrictions in their ability to move freely in your area in day light? 
-Needing to obtain security clearance/coupons
-Needing to show ID documents to civilian authorities or security actors
-Time restrictions on when to leave and return
-Needing to provide a specific reason for movement (employement, medical, school)
-Physical road blocks
-Other</t>
  </si>
  <si>
    <t>[Household roster] What is the sex of this person?
[Household roster] What is the relation to the head of household?</t>
  </si>
  <si>
    <t>Is your HH presently fearing eviction?</t>
  </si>
  <si>
    <t>If not intending to return within the next year, why not? (select max. 3)</t>
  </si>
  <si>
    <t>1. Does your household own either a private or shared water tank? 
2. What is your water tank capacity (in liters)?
3. How many times do you re-fill your tanks each week?
4. How many people share this water tank?</t>
  </si>
  <si>
    <t>1. Yes, No
2. Integer
3. Integer
4. Integer</t>
  </si>
  <si>
    <t>How frequently is solid waste disposed from your residence?</t>
  </si>
  <si>
    <t>not MCNA</t>
  </si>
  <si>
    <t>[Household roster] What is sex of this person?</t>
  </si>
  <si>
    <t>[Household roster] What is the age of this person?</t>
  </si>
  <si>
    <t>1. [Household roster] What is this person's age?
2. [Household roster] What is the person's marital status?</t>
  </si>
  <si>
    <t>Female
Male</t>
  </si>
  <si>
    <t xml:space="preserve">1. Head of household; spouse of HoH; Child; Sibling; Parent; Child in law; Grandchild; Parent in law; Nephew/Niece; Other relative; Guest; Friend
2. Single; Married; Separated; Divorced; Widowed </t>
  </si>
  <si>
    <t xml:space="preserve">1. Integer [&lt;18]
2. Single; Married; Separated; Divorced; Widowed </t>
  </si>
  <si>
    <t>Average household size</t>
  </si>
  <si>
    <t xml:space="preserve">How many members are there in your household? </t>
  </si>
  <si>
    <t xml:space="preserve">Average family size </t>
  </si>
  <si>
    <t>How many members are there in your family?</t>
  </si>
  <si>
    <t>Integer for each option</t>
  </si>
  <si>
    <t>% of women pregnant / lactating</t>
  </si>
  <si>
    <t>Is this person pregnant or lactating?</t>
  </si>
  <si>
    <t>% HH reporting to have received [type of aid]</t>
  </si>
  <si>
    <t>What type of assistance/aid did you receive?</t>
  </si>
  <si>
    <t>How would you prefer to provide feedback to aid providers about the quality, quantity and appropriateness of the aid you will receive (top 3)?</t>
  </si>
  <si>
    <t>Face to face (at home) with aid worker
Face to face (in office/other venue) with aid worker
Face to face with member of the community
Phone call
SMS (Whatsapp, Viber, etc.)
Email
Letter
social media
Complaints/suggestion box
Other</t>
  </si>
  <si>
    <t>% HH unable to access available info because of … (specific needs: Unaccompanied and separated children; People with serious health conditions; Persons with special legal or physical protection needs; Single women; Women-headed households; Persons with disabilities; People with mental health problems; Older persons; Persons with a diverse sexual orientation or gender identity; People who can not read</t>
  </si>
  <si>
    <t xml:space="preserve">% of HH living with hosts </t>
  </si>
  <si>
    <t xml:space="preserve">Is your HH currently being hosted? </t>
  </si>
  <si>
    <t xml:space="preserve">If the person does not attend school, what were the reasons? </t>
  </si>
  <si>
    <t>% HH with access to a hospital that provides emergency services</t>
  </si>
  <si>
    <t xml:space="preserve">Does [the hospital] provide emergency services? </t>
  </si>
  <si>
    <t>Yes
No
Do not know</t>
  </si>
  <si>
    <t>% HH with access to a hospital that provides maternity services</t>
  </si>
  <si>
    <t>Does [the hospital] provide maternity services?</t>
  </si>
  <si>
    <t>Yes
No 
Do not know</t>
  </si>
  <si>
    <t>% HH with access to a hospital that provides surgical services</t>
  </si>
  <si>
    <t xml:space="preserve">Does [the hospital] provide surgical services? </t>
  </si>
  <si>
    <t>% HH with access to a hospital that provides pediatric services</t>
  </si>
  <si>
    <t xml:space="preserve">Does  [the hospital] provide pediatric services? </t>
  </si>
  <si>
    <t>Health</t>
  </si>
  <si>
    <t>In the last three months, has this person needed to access health services or treatment (including medicines)</t>
  </si>
  <si>
    <t>% HH reporting [type of difficulty] in accessing health services</t>
  </si>
  <si>
    <t>Yes
No 
Do not know
Do not want to answer</t>
  </si>
  <si>
    <t>Main barriers to employment</t>
  </si>
  <si>
    <t>What obstacles, if any, is the person facing in finding work?</t>
  </si>
  <si>
    <t>Increased competition for jobs, not enough jobs
Available jobs are too far away
Only low-skilled, socially degrading or low-paying jobs
Underqualified for available jobs
Lack of family/personal connections
None
Other</t>
  </si>
  <si>
    <t>% HH with all working adults in unstable employment</t>
  </si>
  <si>
    <t>Is this employment seasonal / temporary</t>
  </si>
  <si>
    <t>Yes
No
Do not know
Decline to answer</t>
  </si>
  <si>
    <t>% HH with access to a market less than 5 km away</t>
  </si>
  <si>
    <t>How far is the closest functioning market that you have been able to access in the past month?</t>
  </si>
  <si>
    <t>Within 2 km
Between 2-5 km away
More than 5 km away
None that the household can access
Do not know</t>
  </si>
  <si>
    <t>Main shelter issues</t>
  </si>
  <si>
    <t>% HH from [governorate of origin]</t>
  </si>
  <si>
    <t>(IDP) What governorate in Iraq were you living in before your displacement?</t>
  </si>
  <si>
    <t>% HH from [district of origin]</t>
  </si>
  <si>
    <t>(IDP) What district in Iraq were you living in before your displacement?</t>
  </si>
  <si>
    <t>% HH that attempted return to their AoO</t>
  </si>
  <si>
    <t>Have you been back to your AoO or tried to go back, but then decided to displace again?</t>
  </si>
  <si>
    <t xml:space="preserve">% HH citing [feedback mode] to provide feedback to aid providers about the quality, quantity, and appropriateness of the aid received </t>
  </si>
  <si>
    <t>Governorate</t>
  </si>
  <si>
    <t xml:space="preserve"># of total pre-conflict population (2014) </t>
  </si>
  <si>
    <t>DTM ML Round 110, Gov. est</t>
  </si>
  <si>
    <t xml:space="preserve">FSC, CWG </t>
  </si>
  <si>
    <t>DTM ML 110; ILA IV</t>
  </si>
  <si>
    <t>Protection</t>
  </si>
  <si>
    <t>SNFI, Protection</t>
  </si>
  <si>
    <t>Protection (contamination - men, boys at risk)</t>
  </si>
  <si>
    <t>CWG, SNFI</t>
  </si>
  <si>
    <t>FSC, CWG,</t>
  </si>
  <si>
    <t xml:space="preserve"># of people who returned to the AoO </t>
  </si>
  <si>
    <t>Several clusters</t>
  </si>
  <si>
    <t>ILA IV as primary source of service availability indicator for HNO</t>
  </si>
  <si>
    <t xml:space="preserve">Vulnerability </t>
  </si>
  <si>
    <t xml:space="preserve">HP/Govt estimates </t>
  </si>
  <si>
    <t>ILA  IV</t>
  </si>
  <si>
    <t>% of HH with children with psychosocial distress (proxy data with behaviour change)</t>
  </si>
  <si>
    <t>1. Integer [&lt;18] 
2. Yes; No</t>
  </si>
  <si>
    <t>WASH, GBV</t>
  </si>
  <si>
    <t xml:space="preserve">% HH with access to a functional hospital within 10 km with emergency, maternity, surgical and pediatric services </t>
  </si>
  <si>
    <t>What are the main reasons for which you are fearing eviction?</t>
  </si>
  <si>
    <t>% HH reporting [reason] as a risk for eviction</t>
  </si>
  <si>
    <t>SNFI, AAP</t>
  </si>
  <si>
    <t>Added: 
1. Yes / No
2. Yes / No
3. Yes / No</t>
  </si>
  <si>
    <t>% HH who accessed medical healthcare in the three months prior to data collection</t>
  </si>
  <si>
    <t>A1</t>
  </si>
  <si>
    <t>A2</t>
  </si>
  <si>
    <t>A3</t>
  </si>
  <si>
    <t>A4</t>
  </si>
  <si>
    <t>A5</t>
  </si>
  <si>
    <t>A6</t>
  </si>
  <si>
    <t>A9</t>
  </si>
  <si>
    <t>A10</t>
  </si>
  <si>
    <t>A11</t>
  </si>
  <si>
    <t>A16</t>
  </si>
  <si>
    <t>A17</t>
  </si>
  <si>
    <t>A20</t>
  </si>
  <si>
    <t>A21</t>
  </si>
  <si>
    <t>A22</t>
  </si>
  <si>
    <t>A24</t>
  </si>
  <si>
    <t>A29</t>
  </si>
  <si>
    <t>B2</t>
  </si>
  <si>
    <t>B5</t>
  </si>
  <si>
    <t>C3</t>
  </si>
  <si>
    <t>C4</t>
  </si>
  <si>
    <t>C5</t>
  </si>
  <si>
    <t>C6</t>
  </si>
  <si>
    <t>C7</t>
  </si>
  <si>
    <t>C9</t>
  </si>
  <si>
    <t>D1</t>
  </si>
  <si>
    <t>D2</t>
  </si>
  <si>
    <t>D3</t>
  </si>
  <si>
    <t>D6</t>
  </si>
  <si>
    <t>D7</t>
  </si>
  <si>
    <t>D10</t>
  </si>
  <si>
    <t>D14</t>
  </si>
  <si>
    <t>F5</t>
  </si>
  <si>
    <t>F6</t>
  </si>
  <si>
    <t>F7</t>
  </si>
  <si>
    <t>F9</t>
  </si>
  <si>
    <t>G1</t>
  </si>
  <si>
    <t>G2</t>
  </si>
  <si>
    <t>G3</t>
  </si>
  <si>
    <t>G6</t>
  </si>
  <si>
    <t>G7</t>
  </si>
  <si>
    <t>G8</t>
  </si>
  <si>
    <t>G20</t>
  </si>
  <si>
    <t>G23</t>
  </si>
  <si>
    <t>G24</t>
  </si>
  <si>
    <t>G32</t>
  </si>
  <si>
    <t>G34</t>
  </si>
  <si>
    <t>G56</t>
  </si>
  <si>
    <t>G57</t>
  </si>
  <si>
    <t>G61</t>
  </si>
  <si>
    <t>G66</t>
  </si>
  <si>
    <t>G72</t>
  </si>
  <si>
    <t>G74</t>
  </si>
  <si>
    <t>G75</t>
  </si>
  <si>
    <t>G76</t>
  </si>
  <si>
    <t>G77</t>
  </si>
  <si>
    <t>G78</t>
  </si>
  <si>
    <t>G79</t>
  </si>
  <si>
    <t>G80</t>
  </si>
  <si>
    <t>G81</t>
  </si>
  <si>
    <t>G85</t>
  </si>
  <si>
    <t>G89</t>
  </si>
  <si>
    <t>G91</t>
  </si>
  <si>
    <t>G92</t>
  </si>
  <si>
    <t>G94</t>
  </si>
  <si>
    <t>G95</t>
  </si>
  <si>
    <t>G96</t>
  </si>
  <si>
    <t>G97</t>
  </si>
  <si>
    <t>G99</t>
  </si>
  <si>
    <t>G102</t>
  </si>
  <si>
    <t>G103</t>
  </si>
  <si>
    <t>G104</t>
  </si>
  <si>
    <t>G106</t>
  </si>
  <si>
    <t xml:space="preserve"> Is there a functional primary / secondary school present in or within 5 km of your location? (Private or Public)</t>
  </si>
  <si>
    <t>Yes      
No, but access is still possible    
No, access is impossible   
Don’t know</t>
  </si>
  <si>
    <t>Are there sufficient teachers for the schools?</t>
  </si>
  <si>
    <t xml:space="preserve">Yes; No; Don't Know </t>
  </si>
  <si>
    <t>% locations where most children (aged 6-12) are attending formal education</t>
  </si>
  <si>
    <t>% locations where most children (aged 13-17) are attending formal education</t>
  </si>
  <si>
    <t>☐ All (100%) 
☐ Nearly all (75%-99%)
☐ Most (50%-74%)
☐ Less than half (25%-49%)
☐ Less than a quarter (1%-24%)
☐ None (0%)</t>
  </si>
  <si>
    <t>Are there Idp/returnee households in the location that do not have sufficient food</t>
  </si>
  <si>
    <t>Yes, a lot/Yes, some/No/I don’t know</t>
  </si>
  <si>
    <t>Is there a functional market/shop(s) providing basic items and food in the location or within a 5km distance?</t>
  </si>
  <si>
    <t xml:space="preserve">Yes        
No, but access is still possible     
No, access is impossible
Don’t know       </t>
  </si>
  <si>
    <t xml:space="preserve">Is there a functional health clinic in the location or within a 5km distance? </t>
  </si>
  <si>
    <t>Is there a functional hospital in the location or within a 10km distance?</t>
  </si>
  <si>
    <t xml:space="preserve">Yes        
No, but access is still possible     
No, access is impossible
Don’t know    </t>
  </si>
  <si>
    <t xml:space="preserve">Are IDPs/returnees allowed freedom of movement within the governorate in day-to-day activities? </t>
  </si>
  <si>
    <t>Most/all can move freely without any special permit 
Most/all can move freely but need a special permit from police, army, etc. 
Some groups move freely while others face restrictions 
No IDPs have freedom of movement 
Don't know
Prefer not to respond</t>
  </si>
  <si>
    <t xml:space="preserve">Yes; No, Don't Know; Don't want to answer for the following categories:  
Suicide attacks, including: suicide-vehicle-borne-IEDs (SVBIED) and suicide-body-borne-IEDs (SBBIEDs)
Improvised Explosive Devices (IEDs), including: road-side IEDs and Under-Vehicle-IEDs (UVIEDs)
ERWs, landmines, UXOs
Direct fire attacks, including Small Arms Fire (SAF) and Heavy Weapons (HW), such as heavy machine guns (HMGs)
Indirect fire attacks, including missiles, rockets, artillery and mortar shells
Attacks in which knifes and similar (bladed) as well as other non-kinetic weapons were used
Abduction and kidnapping
Arbitrary arrest
Recruitment into militia groups (semi-formal security actors)
Recruitment by terrorist groups 
Schools and hospitals used by armed actors
Incidents of criminal intent (petty crime)
</t>
  </si>
  <si>
    <t>How many of the houses in the location are heavily damaged/destroyed? (house damage toe to the 2014 conflict onwards)</t>
  </si>
  <si>
    <t xml:space="preserve">A – All of the houses are heavily damaged/destroyed (above 100%) D – Less than half of the houses are heavily damaged/destroyed (25%-49%)
B – Nearly all of the houses are heavily damaged/destroyed (75%-99%) E –Less than a quarter of the houses are heavily damaged/destroyed (1%-24%)
C – Most houses are heavily damaged/destroyed (50%-74%) F – None of the houses are heavily damaged/destroyed (0%) / All of the houses have been reconstructed/rehabilitated
D – Less than half of the houses are heavily damaged/destroyed (25%-49%)
E –Less than a quarter of the houses are heavily damaged/destroyed (1%-24%)
F – None of the houses are heavily damaged/destroyed (0%) / All of the houses have been reconstructed/rehabilitated
</t>
  </si>
  <si>
    <t xml:space="preserve">Do households have enough electricity for their needs?
This should include all sources, public or private
</t>
  </si>
  <si>
    <t>Do households have enough water for their drinking and domestic needs? This should include all sources, public or private</t>
  </si>
  <si>
    <t>All or nearly all have enough water (75-100%) 
Most the households have enough water (50-74%) 
Less than half the households have enough water (25-49%) 
Less than a quarter have enough water (1-24%) 
None of the households have enough water (0%)</t>
  </si>
  <si>
    <t>All or nearly all have enough electricity (75-100%) 
Most the households have enough electricity (50-74%) 
Less than half the households have enough electricity (25-49%) 
Less than a quarter have enough electricity (1-24%) 
None of the households have enough electricity (0%)</t>
  </si>
  <si>
    <t>Did you have any issue relating to the taste, appearance or smell of your main drinking water source in the last 30 days?</t>
  </si>
  <si>
    <t xml:space="preserve">Yes; No </t>
  </si>
  <si>
    <t>Do all households have access to latrines in the location (private or communal)?</t>
  </si>
  <si>
    <t>Yes; No</t>
  </si>
  <si>
    <t>Do households have access to waste collection or communal garbage bins at the time of assessment?</t>
  </si>
  <si>
    <t xml:space="preserve">Population - Demographics </t>
  </si>
  <si>
    <t>CCCM Camp Profile, Pop. Flow</t>
  </si>
  <si>
    <t>1. [Household roster] What is the age of this person?
2. [Household roster] Is this person (6-17) currently attending formal education? (during school season)
3. [Household roster] If no, is the person (6-17) currently attending a non-formal learning environment at least 3 days per week? (during school season)</t>
  </si>
  <si>
    <t>1. Integer [between 6 and 17]
2. Yes; No; do not know; Decline to answer
3. Yes; No; do not know; Decline to answer</t>
  </si>
  <si>
    <t>Within 2 km
Between 2-5 km 
More than 5 km
None that the household can access 
Do not know of a functioning primary/secondary school</t>
  </si>
  <si>
    <t>Within 2 km
Between 2-5 km away
More than 5 km away
None that the household can access
Don't know of a functioning health center</t>
  </si>
  <si>
    <t>Within 2 km
Between 2-5 km away
Between 6-10 km away
More than 10 km away
None that the household can access
Don't know of a functioning hospital</t>
  </si>
  <si>
    <t>Conflict-related injury (gunshot, mines, shrapnel, etc.
Communicable disease (vaccine-preventable, water-borne, vector-borne, food-borne)
Chronic health condition (heart disease, cancer, lung disease, diabetes, renal diseases)
Other health issue (specify)
None</t>
  </si>
  <si>
    <t>For each option: 
Yes
No
Don't know
Decline to answer</t>
  </si>
  <si>
    <t>% of HH adults with psychosocial distress (proxy data with behavior change)</t>
  </si>
  <si>
    <t>1. Female, Male
2. HoH, spouse, child, sibling, parent, child in law, grand child, parent in law, nephew/niece, other relative, guest, friend</t>
  </si>
  <si>
    <t>% women and girls who avoid areas because they feel unsafe there</t>
  </si>
  <si>
    <t xml:space="preserve">Multiple choice: Latrines and bathing facilities
Markets
Distribution areas
Water points                                                               
Social/community areas 
On their way to school                         
On their way to women community centers/health centers                                                  
Do not know </t>
  </si>
  <si>
    <t>Yes
No
Don't know
Decline to answer</t>
  </si>
  <si>
    <t>Lack of funds to pay rental costs
Host family no longer able to host our family
Local community does not accept our family living in the area
Authorities requested our HH to leave
Request to vacate from owner of building / land
No valid tenancy agreement
Inadequate housing / shelter condisiont 
Housing occupied by other groups
Risk of property being confiscated
Ownership of property is disputed</t>
  </si>
  <si>
    <t>Security concerns: Fear/trauma associated with returning to place of origin
Security concerns: Lack of security forces 
Security concerns: Presence of explosive hazards (mines, bombs, IEDs)
Security concerns: Fear of discrimination
Movement restrictions (do not have proper paperwork to relocate)
No personal identification documents
No transportation available to return home
No financial means to return ans restart
Lack of livelihood/income generating activities in AoO
Households assets in AoO have been damaged and/or destroyed
House/land I own in AoO is currently occupied by armed groups
House/land I own in AoO is currently occupied by others (not armed actors)
House I own in AoO has been damaged/destroyed
Lack of adequate property ownership, inheritance or tenancy documentation
Ownership of property in AoO is disputed. 
Lack of housing available to rent in AoO
Lack of income to pay for rent in AoO
Household assets have been damaged/destroyed
Local markets are not functioning
Basic services in the AoO are not enough/available
Lack of education opportunities for children in AoO
Immediate family and network will not return
Health condition does not allow me to leave the AoD
Children enrolled at scholl in the AoD
Living conditions are better in the AoD
Do not know
Decline to answer</t>
  </si>
  <si>
    <t>% of HH lacking secure tenure</t>
  </si>
  <si>
    <t>Is the property you are currently living in, or own elsewhere, under any kind of dispute? (+ other composite questions)</t>
  </si>
  <si>
    <t>Security concerns: Fear/trauma associated with returning to place of origin
Security concerns: Lack of security forces 
Security concerns: Presence of explosive hazards (mines, bombs, IEDs)
Security concerns: Fear of discrimination
Movement restrictions (do not have proper paperwork to relocate)
No personal identification documents
No transportation available to return home
No financial means to return ans restart
Lack of livelihood/income generating activities in AoO
House has been damaged/destroyed
House/land is currently occupied
Legal ownership issues surrounding house and property
Household assets have been damaged/destroyed
Local markets are not functioning
Basic services in the AoO are not enough/available
Lack of education opportunities for children in AoO
Immediate family and network will not return
Health condition does not allow me to leave the AoD
Children enrolled at scholl in the AoD
Living conditions are better in the AoD
Do not know
Decline to answer</t>
  </si>
  <si>
    <t xml:space="preserve">(basic) bedding; Mattresses; blanket; cooking utensils; stove; light source; fuel storage
(summer): coolbox, water storage, fan
(winter): winter heaters
(other): Clothing, AWC, Cooking fuel, Heating fuel </t>
  </si>
  <si>
    <t xml:space="preserve">(1) How do you treat your water for drinking
(2) Why do you feel the need to treat it </t>
  </si>
  <si>
    <t>Every day
Every week
Every two weeks
Every month
More than every month
Service not available</t>
  </si>
  <si>
    <t xml:space="preserve">In the past 30 days, did the person suffer from any of the following health condition or event? </t>
  </si>
  <si>
    <t>What areas do women and girls in your community avoid or feel unsafe in?</t>
  </si>
  <si>
    <t xml:space="preserve">See Disability Section Below </t>
  </si>
  <si>
    <t xml:space="preserve">Sector </t>
  </si>
  <si>
    <t>Source</t>
  </si>
  <si>
    <t xml:space="preserve">S/NFI </t>
  </si>
  <si>
    <t xml:space="preserve">Source </t>
  </si>
  <si>
    <t>WASH</t>
  </si>
  <si>
    <t xml:space="preserve">Comments / Questions </t>
  </si>
  <si>
    <t>E.3.1 (HH); I.3.1 (HH)</t>
  </si>
  <si>
    <t xml:space="preserve">Topic/domain </t>
  </si>
  <si>
    <t>Cluster /Sector/Sub-cluster</t>
  </si>
  <si>
    <t>Health, Protection</t>
  </si>
  <si>
    <t>CCCM to confirm continued use of this indicator (RASP)</t>
  </si>
  <si>
    <t>CCCM to confirm continued use of this indicator (Intention survey)</t>
  </si>
  <si>
    <t>Not in ILA, MCNA. CCCM to confirm if to be used from RASP?</t>
  </si>
  <si>
    <t xml:space="preserve">Health cluster to confirm use, data source </t>
  </si>
  <si>
    <t>Not an indicator in itself but needed for the next question.</t>
  </si>
  <si>
    <t xml:space="preserve">CWG, EL </t>
  </si>
  <si>
    <t xml:space="preserve">SNFI  to confirm if maintained for analysis/severity </t>
  </si>
  <si>
    <t xml:space="preserve">Is this person's difficulty related to an explosive hazard (i.e. mines, UXO, IED)? </t>
  </si>
  <si>
    <t>% locations with a functional health clinic, or within 5km distance away</t>
  </si>
  <si>
    <t>% locations with a functional hospital, or within 10km distance away</t>
  </si>
  <si>
    <t>Cluster to confirm use (e.g. location/site prioritization; triangulation)</t>
  </si>
  <si>
    <t xml:space="preserve">Population - IDPs </t>
  </si>
  <si>
    <t xml:space="preserve">% [children&gt;5/adult/female/male] who report 'a lot of difficulty' or 'cannot do at all' in [type] of functional difficulty </t>
  </si>
  <si>
    <t>% of people whose disability is related to an explosive hazard</t>
  </si>
  <si>
    <t xml:space="preserve">CCCM to confirm projections will be made </t>
  </si>
  <si>
    <t xml:space="preserve">No changes; Clarification:  MCNA 3 months = short-term, 12 months = long term. ILA collects this info witthout a deadline. Therefore for IOM research, 3-12 months is short to meridum-term, and consider ILA collecting info  without any deadline, which is why they are considering this as long term. </t>
  </si>
  <si>
    <t>EDCL Assess</t>
  </si>
  <si>
    <t>Availability of Teachers (Pupil teacher ratio)</t>
  </si>
  <si>
    <t>AI + DoE</t>
  </si>
  <si>
    <t>% of education personnel receive professional development</t>
  </si>
  <si>
    <t>% of Teachers receive salary/ Incentives</t>
  </si>
  <si>
    <t>% of learning space Functional</t>
  </si>
  <si>
    <t>% of students receive T/L materials</t>
  </si>
  <si>
    <t xml:space="preserve">EDC, CPSC </t>
  </si>
  <si>
    <t xml:space="preserve">EDC </t>
  </si>
  <si>
    <t>EDC</t>
  </si>
  <si>
    <t>F7b</t>
  </si>
  <si>
    <t>% HH with access to essential health services (emergency, maternity, pediatric and surgical services within 10km, health clinic within 5 km)</t>
  </si>
  <si>
    <t>% HH that were evicted from previous shelter/housing in the 12 months previous</t>
  </si>
  <si>
    <t>% HH with ownership or secure rights over agricultural land</t>
  </si>
  <si>
    <t xml:space="preserve"> % HH with access/knowledge of complaint mechanisms </t>
  </si>
  <si>
    <t>% IDP households missing at least one key individual document or one key household document</t>
  </si>
  <si>
    <t>% HH with separated household members</t>
  </si>
  <si>
    <t xml:space="preserve">% HH with at least one adult unable to register to vote </t>
  </si>
  <si>
    <t xml:space="preserve">Answered through G25 and G26 </t>
  </si>
  <si>
    <t>Was your household at any time evicted from a previous place of housing in the past year?</t>
  </si>
  <si>
    <t>Yes
No
Decline to answer</t>
  </si>
  <si>
    <t>Does your household own or have secured rights over agricultural land?</t>
  </si>
  <si>
    <t>Yes
No</t>
  </si>
  <si>
    <t>Answered through G51</t>
  </si>
  <si>
    <t>Is every eligible person &gt;18  registered to vote in your family?</t>
  </si>
  <si>
    <t xml:space="preserve">Yes
No - Unable; 
No - Not relevant or undecided
Decline to answer </t>
  </si>
  <si>
    <t xml:space="preserve">Cross-cutting </t>
  </si>
  <si>
    <t>What type of information would you like to receive from humanitarian actors (top 3)? Please specify your top 3 priorities.</t>
  </si>
  <si>
    <t>Who/where do you currently receive information from (top 3)?</t>
  </si>
  <si>
    <t>Cash
Food
Water
Fuel
Shelter 
Seasonal items
Health services
Education services
Other non-food items
Protection/legal services</t>
  </si>
  <si>
    <t>☐ School stopped functioning and is now closed (Examples include: Occupied by armed forces, Partially damaged, Totally damaged, Occupied by displaced persons, Lack of students)
☐  Going or attending school is not safe (Examples include: it is unsafe to travel or go to school, Fear of recruitment in/on way to school, Fear of bombing, Fear of violence against children at school (corporal punishment, harassment by teachers and other students, bullying, etc.), Fear of abduction in/on way to school)
☐  We can’t afford to pay for the school related expenses (Examples include: Cannot afford to pay for the school fees (e.g. school supplies, tuition, textbook, food, uniforms, etc.), Cannot afford to pay for transport)
☐  We are not able to register or enrol our children in the school (Examples include: Lack of documentation to enrol child, Recently or continuous movement to different locations, Newly arrived at location and have yet to enrol/register, Unable to enrol school due to discrimination, Poor performance/dismissed)
☐  Our children can’t physically go to the school (Examples include: Disability (of child), Traumatization (of child), School is too far away, No transport available to bring to school, No fuel available to bring to school, Child ill, disabled or unhealthy, Child is too young)
☐  School and classes are overcrowded
☐  Lack of staff to run the school (Examples include: Lack of teachers, Lack of skilled/trained teachers, Lack of gender appropriate teachers/staff)
☐  The school infrastructure is poor (Examples include: The schools building is in poor condition (e.g. lack of furniture, no electricity, water leaks, poor latrines, poor amenities, etc.), The WASH facilities are in poor conditions (latrines maintenance, smell, lightning, gender segregation, etc.)
☐  The curriculum and teaching are not adapted for our children (Examples include: Curriculum is not appropriate; Language is not appropriate)
☐  Our children are busy working or supporting the household (Examples include: Children need to stay at home and assist the family with household chores or contribute to HH income, Early marriage)
☐ Parental refusal to send children to school (Examples include: Customs/tradition, Don't believe schooling is necessary/do not consider education important, Missed too much school to make up, Children shouldn't get western education)
☐  Lack of interest of children in education.</t>
  </si>
  <si>
    <t>% HH with at least one child unable to attend formal education because of lack of civil documentation</t>
  </si>
  <si>
    <t>For those children not attending school, was it because of lack of civil documentation?</t>
  </si>
  <si>
    <t>Displacement status</t>
  </si>
  <si>
    <t>Displacement status - IDP secondary displacement</t>
  </si>
  <si>
    <t>Was your household living in this location prior to January 2014?</t>
  </si>
  <si>
    <t xml:space="preserve">Is this location your first place of displacement? </t>
  </si>
  <si>
    <t xml:space="preserve">Displacement status - Returnee </t>
  </si>
  <si>
    <t xml:space="preserve">Displacement status - IDP </t>
  </si>
  <si>
    <t xml:space="preserve">Displacement status - Host </t>
  </si>
  <si>
    <t>Have you been displaced from this location since January 2014?</t>
  </si>
  <si>
    <t>Did you move to this location because of the conflict?</t>
  </si>
  <si>
    <t xml:space="preserve">[1] When did you return to this location after your most recent incidence of displacement?
[2] For how many months were you displaced? 
[3] When were you initially displaced from your location? 
[4] When did you arrive to this current location? </t>
  </si>
  <si>
    <t>1. [Household roster] What is this person's relation to the head of household? 
2. [Household roster] What is this person's marital status (including customary mariage)?</t>
  </si>
  <si>
    <t>1. [Household roster] Is the person (6-17) currently attending formal education? (during school season). 
2. Is the person (6-17) currently attending a non-formal learning environment at least 3 days per week? (during school season)
3. Has the person (6-17) ever attended school?
4. In what month and year did this person stop attending school?</t>
  </si>
  <si>
    <t>1. Yes; No; do not know; Decline to answer
2. Yes, No; Do nott know; Decline to answer
3. Yes, No; Do nott know; Decline to answer
4. Date [After January 2014]</t>
  </si>
  <si>
    <t>1. [Household roster] What is this person's age? 2. [Household roster] Is this person currently working or contributing to household income?</t>
  </si>
  <si>
    <t xml:space="preserve">1. [Household roster] What is this person's age?
2. Is [this person] currently working or contributing to household income?
3. Is [this person] actively seeking work?
</t>
  </si>
  <si>
    <t xml:space="preserve">1. Integer [&lt;18] 
2. Yes; No
3.  Yes; No; Don’t know </t>
  </si>
  <si>
    <t>Security situation in return area is unstable (incl. presence of armed groups)
Presence of unexploded ordinances
Legal and physical protection concerns 
Unavailability of basic services 
Property destroyed/severely damaged / looted / occupied
Lack of lievelihood opportunities
Inter-communal or inter-tribal tensions. 
Lack of safety and security for women and girls</t>
  </si>
  <si>
    <t>Security concerns: Fear/trauma associated with returning to place of origin
Security concerns: Lack of security forces 
Security concerns: Presence of explosive hazards (mines, bombs, IEDs)
Security concerns: Fear of discrimination
Lack of safety and security for women and girls
Movement restrictions (do not have proper paperwork to relocate)
No personal identification documents
No transportation available to return home
No financial means to return ans restart
Lack of livelihood/income generating activities in AoO
Households assets in AoO have been damaged and/or destroyed
House/land I own in AoO is currently occupied 
House I own in AoO has been damaged/destroyed
Non-restoration of courts and/or civil registries in AoO
Local markets are not functioning
Basic services in the AoO are not enough/available
Lack of education opportunities for children in AoO
Immediate family and network will not return
Health condition does not allow me to leave the AoD
Children enrolled at scholl in the AoD
Living conditions are better in the AoD
Do not know
Decline to answer</t>
  </si>
  <si>
    <t xml:space="preserve">HLP </t>
  </si>
  <si>
    <t xml:space="preserve">% of IDP HHs that currently don't intend to return to their AoO due to [insert response option]
</t>
  </si>
  <si>
    <t>% of IDP HHs not intending to return to their AoO due to explosive hazards contamination</t>
  </si>
  <si>
    <t>What are the main reasons you would consider displacement again?</t>
  </si>
  <si>
    <t>% HHs of returnee or IDP that would consider displacement again due to [insert response option]</t>
  </si>
  <si>
    <t>% of IDP HHs that currently intends to return to their AoO due to [insert response option]</t>
  </si>
  <si>
    <t>What are the main reasons why you currently intend to return to your area of origin? (Select max 3)</t>
  </si>
  <si>
    <t>Security situation in AoO is stable
Area of origin was cleared of explosive hazards
Other family/community members have returned
Livelihood options are available there
Basic services available
Emotional desire to return
Necessary to secure personal HLP
Necessary to secure civil documentation
Limited liveliihood opportunities in AoD
Limited services in AoD 
Do not feel safe in AoD 
Do not feel integrated in AoO
Facing eviction in AoD 
Forced to return by security actors or civilian authorities
Lack of safety and security for women and girls in area of displacement</t>
  </si>
  <si>
    <t xml:space="preserve">Cross-cutting, Protection, Health </t>
  </si>
  <si>
    <t xml:space="preserve">Cross-cutting, Protection  </t>
  </si>
  <si>
    <t xml:space="preserve">Distance
Costs
Service/s not physically accessible 
Information about services not accessible
Service/s provision not adapted 
Stigma in community
Discrimination by service providers 
Other – please specify </t>
  </si>
  <si>
    <t>% of HH with at least one member (aged 5 and above) that have difficulties ('lots of difficulty' or 'cannot do at all') seeing</t>
  </si>
  <si>
    <t xml:space="preserve">% of HH with at least one member (aged 5 and above) that have difficulties ('lots of difficulty' or 'cannot do at all') hearing </t>
  </si>
  <si>
    <t>% of HH with at least one member (aged 5 and above) that have difficulties  ('lots of difficulty' or 'cannot do at all') to walk/climb</t>
  </si>
  <si>
    <t>Cross-cutting, Health, Protection</t>
  </si>
  <si>
    <t xml:space="preserve">What have been the main sources of water used by your household for drinking, cooking, bathing and washing in the last 30 days (select all that apply) ? </t>
  </si>
  <si>
    <t>Improved:
1.Piped water into compound
2.Piped water connected to public tap
3.Borehole
4.Protected well
5.Protected rainwater tank
6.Protected spring
7.Bottled water
Unimproved:
8.Water Trucking
9.Illegal connection to piped network
10.Unprotected rainwater tank
11.Unprotected well
12.Unprotected spring
13. Surface water without pre-treatment (river, dam, lake, pond, stream, canal)
14. Other</t>
  </si>
  <si>
    <t>% HH with access to an improved water source</t>
  </si>
  <si>
    <t>Question 1: 
No treatment necessary 
Boiling water
HH filter (ceramic)
HH filter (biosand) 
HH filter (cloth) 
HH filter (home-made filter with stones and cotton)
Chlorination
Other
Question 2: 
The water is not clear
The water tastes unpleasant
The water smells unpleasant
None of the above</t>
  </si>
  <si>
    <t>% HH without  access to waste collection services (in camps)</t>
  </si>
  <si>
    <t xml:space="preserve">1. What kind of toilet does your household usually use? 
2. Do you share this sanitation facility (latrine or toilet) with other households? 
</t>
  </si>
  <si>
    <t>1) Flush or Pour flush toilet
Pit latrine without a slab or platform
Open hole
Pit VIP toilet
Don’t know
I don’t have access to a functional toilet
Other: 
2) Yes; No</t>
  </si>
  <si>
    <t>Do you have access to sufficient soap?
If yes, what do you use it for?</t>
  </si>
  <si>
    <t xml:space="preserve">Question 1: Yes, No 
Question 2: Don't use soap
Handwashing
Bathing
Laundry
Dish washing
Other
</t>
  </si>
  <si>
    <t xml:space="preserve">What difficulties, if any, are encountered when attempting to access health services or treatment? </t>
  </si>
  <si>
    <t>No issues
Have not tried to access medical services 
Cost of services and/or medicine was too high
Did not get access to qualified health staff at the health facility
Problems with civil documents
Public health clinic did not provide referral
Public health clinic not open
The treatment center was too far away/Transportation constraints
Medical staff refused treatment without any excuse
No medicine available at health facility/pharmacy
No treatment available for my disease at the health facility
Health services not inclusive of people with disabilities</t>
  </si>
  <si>
    <t>% Women of reproductive age (12-49) with access to specialized reproductive health services</t>
  </si>
  <si>
    <t xml:space="preserve">Do women of reproductive age (12-49) have access to specialized reproductive health services? </t>
  </si>
  <si>
    <t>Yes
No
Do not know
Do not want to answer</t>
  </si>
  <si>
    <t xml:space="preserve">1. Does any members of your household suffer in the last 30 days and show signs of psychosocial distress or trauma such as nightmare, lasting sadness, extreme fatigue, being often tearful or extreme anxiety?
2. If yes, how many persons under 18 years showed those signs?
</t>
  </si>
  <si>
    <t xml:space="preserve">1. Does any members of your household suffer in the last 30 days and show signs of psychosocial distress  or trauma such as nightmare, lasting sadness, extreme fatigue, being often tearful or extreme anxiety?
2. If yes, how many persons overs 18 years showed those signs?
</t>
  </si>
  <si>
    <t xml:space="preserve">1. Yes; No
2. Integer
</t>
  </si>
  <si>
    <t>Health, CPSC</t>
  </si>
  <si>
    <t xml:space="preserve">% of HH with at least one member (aged 5 and above) that have have difficulties  ('lots of difficulty' or 'cannot do at all') communicating </t>
  </si>
  <si>
    <t xml:space="preserve">% of HH with at least one member (aged 5 and above) that have  difficulties ('lots of difficulty' or 'cannot do at all') with self-care (e.g. washing, dressing)
</t>
  </si>
  <si>
    <t xml:space="preserve">Yes; No; Don't Know; Decline to answer </t>
  </si>
  <si>
    <t>Emerg. Livelihoods, CWG, GBVSC</t>
  </si>
  <si>
    <t xml:space="preserve">Emerg. Livelihoods </t>
  </si>
  <si>
    <t>Saving
Income from renting house, land or property
Employment
Remittences
Retirement fund or pension
Selling household assets
Selling assistance received
Loans, debts
MODM cash assistance
Support from community, friends, family
NGO or charity assistance
Social service (disability allowance)
Illegal or socially degrading activities (e.g. unlawful sales, begging, etc.)
Other</t>
  </si>
  <si>
    <t>% HH spending [expenditure] on basic needs per month</t>
  </si>
  <si>
    <t xml:space="preserve">In total, how much Iraqi Dinars did your household spend on basic needs over the last 30 days in IQD?
Rent
Shelter maintenance
Food
Electricity
Medical Care (including medicines)
Education
Water
Adult clothing
Children clothing
Other non-food (household) items
Transportation
Communication
Debt payment
Productive assets
Other payment
Please describe on what was the other payment?
</t>
  </si>
  <si>
    <t xml:space="preserve">G100 </t>
  </si>
  <si>
    <t>Yes, we have it, it is valid, and it is stored in a secure place
No, we don't have it, it is missing, confiscated, expired or invalid
Do not know / Decline to answer</t>
  </si>
  <si>
    <t>1.Does every person &gt; 18 in your household have the following documents? 
-Passport
-National ID card
-Citizenship certificate
-birth certificate
-[If over 16] school certificate
-[If married] marriage license
-[If divorced] divorce license
2. Does your household have the following documents?
-PDS card
-Information card
-Death certificate
-Guardianship certificate
-Inheritance deed
-Trusteeship certificate</t>
  </si>
  <si>
    <t>1. Yes, we have it, it is valid, and it is stored in a secure place
No, we don't have it, it is missing, confiscated, expired or invalid
Do not know / Decline to answer
2. Yes (every person over 18 in my household has the document, and they are all valid and in a secure place/in our possession); 
No, (the document is missing, confiscated, expired or invalid for at least one adult in my household);
Do not know / Decline to answer</t>
  </si>
  <si>
    <t xml:space="preserve">If no, how many persons under 18 don't have their national ID? </t>
  </si>
  <si>
    <t xml:space="preserve">integer </t>
  </si>
  <si>
    <t xml:space="preserve">integer
integer </t>
  </si>
  <si>
    <t xml:space="preserve">1. If no, how many persons under 1 don't have their birth certificate? 
2. In no, how many persons between 1 and 17 don't have their birth certificate?
</t>
  </si>
  <si>
    <t xml:space="preserve">
Does any members of your household suffer in the last 30 days and show signs of psychosocial distress or trauma such as nightmare, lasting sadness, extreme fatigue, being often tearful or extreme anxiety?
If yes, how many persons under 18 years showed those signs?
</t>
  </si>
  <si>
    <t>Does any members of your household suffer in the last 30 days and show signs of psychosocial distress  or trauma such as nightmare, lasting sadness, extreme fatigue, being often tearful or extreme anxiety?
If yes, how many persons overs 18 years showed those signs?</t>
  </si>
  <si>
    <t xml:space="preserve">1. Yes
No
Do not know
Decline to answer 
2. integer </t>
  </si>
  <si>
    <t>What immediate issues are you facing with your current shelter (top 4)?</t>
  </si>
  <si>
    <t>No issues
Contamination from explosive hazards
Land at risk of flooding or landslides
Proximity to solid waste dumping site
Fire risks
Shelter located in an insecure or isolated area
Shelter not solid enough to offer protection from intruders
Shelter not fenced
Shelter without security of tenure
Shelter without separate rooms
Not enough space or lack of space inside the shelter (min 5,5m2 per person incl. space for kitchen and wash facilities)
Ceilings are too high or too low
Lack of natural lighting
Leaking roof during rain
Shelter poorly insulated from hot/cold weather
Openings on the walls
Broken windows
Lack or limited ventilation
No electrical connection 
Missing or substandard washing facilities
Lack of access to cooking facilities 
Bends/failure in structural components (walls, beams, slab, column)
Other (specify)</t>
  </si>
  <si>
    <t>Which of the following items would you need to buy because you do not have enough, or not at all of? (select max. 4)
أي من المواد التالية التي تحتاجها بشكل عاجل، لعدم امتلاكك ما يكفي منها، أو لا تملك منها على الإطلاق</t>
  </si>
  <si>
    <t>% HHs needing [basic/summer/winter] NFI items</t>
  </si>
  <si>
    <t>I.8.1; I.8.2</t>
  </si>
  <si>
    <t xml:space="preserve">What is your priority concerns to make your current shelter a better place to live in (top 2) ? </t>
  </si>
  <si>
    <t>Protection from hazards (contamination from explosive remnants of war, land at risk of flooding or landslides, solid waste dumping site, fire risks, etc.), 
Improve safety and security (shelter located in an insecure/ isolated area, shelter not solid enough to offer protection from intruders, not fenced, etc)
Improve security of tenure
Improve privacy and dignity (no separate rooms, not enough space, shared facilities such as toilets &amp; showers, low/high ceilings, lack of ventilation, lack of natural lighting)
Protect from climatic conditions (leaking roof, floor not insulated, opening on the walls, broken windows, lack of ventilation, missing heating system, etc.) 
Improve basic infrastructures and utilities (access to electricity, cooking and bathing/toilet  facilities)
Improve structural stability of the building (signs of failure such as leaning walls, big cracks and bends in structural components  - beam, slab, column, rafter, purlin and wall)</t>
  </si>
  <si>
    <t>Data source 2019</t>
  </si>
  <si>
    <t>Severe (3)</t>
  </si>
  <si>
    <t>Minimal (1)</t>
  </si>
  <si>
    <t>Stress (2)</t>
  </si>
  <si>
    <t xml:space="preserve">Cross-cutting, CWG, FSC, Livelihoods </t>
  </si>
  <si>
    <t xml:space="preserve">Cross-cutting, HLP </t>
  </si>
  <si>
    <t xml:space="preserve">Cross-cutting, CCCM </t>
  </si>
  <si>
    <t xml:space="preserve">Cross-cutting, SNFI </t>
  </si>
  <si>
    <t>Cross-cutting, Emerg. Livelihoods</t>
  </si>
  <si>
    <t>Cross-cutting, CPSC, GBVSC</t>
  </si>
  <si>
    <t xml:space="preserve">Cross-cutting, Health </t>
  </si>
  <si>
    <t xml:space="preserve">Cross-cutting, </t>
  </si>
  <si>
    <t>FSC, CWG</t>
  </si>
  <si>
    <t>Health, GBVSC</t>
  </si>
  <si>
    <t>Livelihoods - Income</t>
  </si>
  <si>
    <t xml:space="preserve">Livelihoods - Income </t>
  </si>
  <si>
    <t xml:space="preserve">Livelihoods - Debt </t>
  </si>
  <si>
    <t>Livelihoods - Market</t>
  </si>
  <si>
    <t xml:space="preserve">Livelihoods - Employment </t>
  </si>
  <si>
    <t xml:space="preserve">Livelihoods - Spending </t>
  </si>
  <si>
    <t xml:space="preserve">Livelihoods </t>
  </si>
  <si>
    <t>CP</t>
  </si>
  <si>
    <t>HLP</t>
  </si>
  <si>
    <t xml:space="preserve">Livelihoods  </t>
  </si>
  <si>
    <t xml:space="preserve">Cross-cutting, Protection, HLP </t>
  </si>
  <si>
    <t>Cross-cutting, Protection</t>
  </si>
  <si>
    <t>Cross-cutting, CCCM</t>
  </si>
  <si>
    <t>% of HH with individuals that suffered from [the following health condition or event]</t>
  </si>
  <si>
    <t>% of HH with members with chronic health conditions</t>
  </si>
  <si>
    <t>Humanitarian Consequence</t>
  </si>
  <si>
    <t>CCA/UNDP (women)</t>
  </si>
  <si>
    <r>
      <t>Does the person with difficulties (identified through the Washington Group Questions) faces any difficulty in accessing [insert service e.g. market, food, education]</t>
    </r>
    <r>
      <rPr>
        <sz val="10"/>
        <color rgb="FF000000"/>
        <rFont val="Arial"/>
        <family val="2"/>
      </rPr>
      <t xml:space="preserve">? </t>
    </r>
  </si>
  <si>
    <t>CCA/UNDAF</t>
  </si>
  <si>
    <t>CCA/UNDAF (children, youth), FSC (Under 5, elderly), Protection (elderly)</t>
  </si>
  <si>
    <t xml:space="preserve">CCA/UNDAF, CWG, EDC, FSC, Protection, WASH </t>
  </si>
  <si>
    <t>CWG, EDC, Protection, SNFI</t>
  </si>
  <si>
    <t>CWG, EDC, SNFI</t>
  </si>
  <si>
    <t>CCA/UNDAF (child-headed HH), EDC (separated children, children of Single-HH or FHH), FSC (child-headed HH), Protection (separated children, child-headed  HH)</t>
  </si>
  <si>
    <t xml:space="preserve">CWG, EDC (if children in HH), Protection, SNFI </t>
  </si>
  <si>
    <t>CCA/UNDAF, FSC (child-headed HH); Protection (older people, child-headed HH)</t>
  </si>
  <si>
    <t>CCA/UNDAF, EDC, FSC (child-headed HH); Protection (older people, child-headed HH)</t>
  </si>
  <si>
    <t>CWG, Protection</t>
  </si>
  <si>
    <t xml:space="preserve">CCA/UNDAF, EDC (if HH has children), FSC, GBV, HLP, WASH </t>
  </si>
  <si>
    <t xml:space="preserve">Shelter </t>
  </si>
  <si>
    <t xml:space="preserve">The following are considered substandard/inadequate/critical shelter as per SNFI guidance: Unfinished or abandoned building; War-damaged residential building; Makeshift shelter; Tent; Religious building; Public building; Container/ Caravan (Prefab); Non-Residentialbuilding. enumerators to use Shelter_Typology Guidance note and Arabic translation from here. </t>
  </si>
  <si>
    <t xml:space="preserve">Clarification:  MCNA 3 months = short-term, 12 months = long term. ILA collects this info witthout a deadline. Therefore for IOM research, 3-12 months is short to meridum-term, and consider ILA collecting info  without any deadline, which is why they are considering this as long term. </t>
  </si>
  <si>
    <t>CWG,  EDC, FSC, Protection, WASH</t>
  </si>
  <si>
    <t>CWG, EDC (children working)</t>
  </si>
  <si>
    <t>CWG, EDC (school dropout), Protection</t>
  </si>
  <si>
    <t>EDC, Protection</t>
  </si>
  <si>
    <t>EDC, HLP</t>
  </si>
  <si>
    <t>HLP, MA</t>
  </si>
  <si>
    <t>MA</t>
  </si>
  <si>
    <r>
      <rPr>
        <b/>
        <sz val="10"/>
        <color rgb="FFFF0000"/>
        <rFont val="Arial"/>
        <family val="2"/>
      </rPr>
      <t>[Displacement status : IDP in camp]
Remain in the location;</t>
    </r>
    <r>
      <rPr>
        <b/>
        <sz val="10"/>
        <color theme="9"/>
        <rFont val="Arial"/>
        <family val="2"/>
      </rPr>
      <t xml:space="preserve">
</t>
    </r>
    <r>
      <rPr>
        <sz val="10"/>
        <color theme="1"/>
        <rFont val="Arial"/>
        <family val="2"/>
      </rPr>
      <t>Return to area of origin;
Move to another location (inside Iraq); 
Move to another (outside Iraq); 
Do not know - waiting to make a decision</t>
    </r>
  </si>
  <si>
    <r>
      <rPr>
        <b/>
        <sz val="10"/>
        <color rgb="FFFF0000"/>
        <rFont val="Arial"/>
        <family val="2"/>
      </rPr>
      <t xml:space="preserve">[Displacement status : IDP in camp]
Remain in the location; </t>
    </r>
    <r>
      <rPr>
        <sz val="10"/>
        <color theme="1"/>
        <rFont val="Arial"/>
        <family val="2"/>
      </rPr>
      <t xml:space="preserve">
Return to area of origin; 
Move to another location (inside Iraq); 
Move to another (outside Iraq); 
Do not know - waiting to make a decision</t>
    </r>
  </si>
  <si>
    <r>
      <rPr>
        <b/>
        <sz val="10"/>
        <color rgb="FFFF0000"/>
        <rFont val="Arial"/>
        <family val="2"/>
      </rPr>
      <t>[Displacement status: returnee]</t>
    </r>
    <r>
      <rPr>
        <sz val="10"/>
        <color theme="1"/>
        <rFont val="Arial"/>
        <family val="2"/>
      </rPr>
      <t xml:space="preserve">
</t>
    </r>
    <r>
      <rPr>
        <b/>
        <sz val="10"/>
        <color rgb="FFFF0000"/>
        <rFont val="Arial"/>
        <family val="2"/>
      </rPr>
      <t>Remain in the location</t>
    </r>
    <r>
      <rPr>
        <sz val="10"/>
        <color theme="1"/>
        <rFont val="Arial"/>
        <family val="2"/>
      </rPr>
      <t>; 
Return to area of origin; 
Move to another location (inside Iraq); 
Move to another (outside Iraq); 
Do not know - waiting to make a decision</t>
    </r>
  </si>
  <si>
    <r>
      <rPr>
        <b/>
        <sz val="10"/>
        <color rgb="FFFF0000"/>
        <rFont val="Arial"/>
        <family val="2"/>
      </rPr>
      <t xml:space="preserve">[Displacement status: returnee]
Remain in the location; </t>
    </r>
    <r>
      <rPr>
        <sz val="10"/>
        <color theme="1"/>
        <rFont val="Arial"/>
        <family val="2"/>
      </rPr>
      <t xml:space="preserve">
Return to area of origin; 
Move to another location (inside Iraq); 
Move to another (outside Iraq); 
Do not know - waiting to make a decision</t>
    </r>
  </si>
  <si>
    <r>
      <rPr>
        <b/>
        <sz val="10"/>
        <color rgb="FFFF0000"/>
        <rFont val="Arial"/>
        <family val="2"/>
      </rPr>
      <t xml:space="preserve">Yes </t>
    </r>
    <r>
      <rPr>
        <sz val="10"/>
        <color theme="1"/>
        <rFont val="Arial"/>
        <family val="2"/>
      </rPr>
      <t xml:space="preserve">
No
Do not know 
Decline to answer</t>
    </r>
  </si>
  <si>
    <t xml:space="preserve">Intentions </t>
  </si>
  <si>
    <t xml:space="preserve">Household Profile </t>
  </si>
  <si>
    <t>A18</t>
  </si>
  <si>
    <t xml:space="preserve">A18a </t>
  </si>
  <si>
    <t xml:space="preserve">A19 </t>
  </si>
  <si>
    <t>Household Profile</t>
  </si>
  <si>
    <t xml:space="preserve">Date
Integer
Date 
Date </t>
  </si>
  <si>
    <t>% of people living under critical shelter conditions (aggregate indicator)</t>
  </si>
  <si>
    <t>Average length of displacement IDP &amp; Returnee (aggreate indicator)</t>
  </si>
  <si>
    <t xml:space="preserve">A23 </t>
  </si>
  <si>
    <t xml:space="preserve">A25 </t>
  </si>
  <si>
    <t xml:space="preserve">A27 </t>
  </si>
  <si>
    <t xml:space="preserve">A28 </t>
  </si>
  <si>
    <t xml:space="preserve">A26a </t>
  </si>
  <si>
    <t xml:space="preserve">A26b </t>
  </si>
  <si>
    <t xml:space="preserve">G67 </t>
  </si>
  <si>
    <t xml:space="preserve">G73 </t>
  </si>
  <si>
    <t xml:space="preserve">G68 </t>
  </si>
  <si>
    <t xml:space="preserve">G51 </t>
  </si>
  <si>
    <t xml:space="preserve">% HH missing at least one key household document or one key individual document (aggregate indicator) </t>
  </si>
  <si>
    <t>Does every person under 18 in your household have the following documents? 
-Passport
-National ID card
-Citizenship certificate
-birth certificate
-[If over 16] school certificate
-[If married] marriage license
-[If divorced] divorce license</t>
  </si>
  <si>
    <t>G51a</t>
  </si>
  <si>
    <t>G51b</t>
  </si>
  <si>
    <t># Number of reported children missing birth certificates (aggregate indicator)</t>
  </si>
  <si>
    <t xml:space="preserve"># Number of reported children missing national ID </t>
  </si>
  <si>
    <t xml:space="preserve">% HH with at least one child missing a key individual document </t>
  </si>
  <si>
    <t xml:space="preserve">G54 </t>
  </si>
  <si>
    <t xml:space="preserve">G55 </t>
  </si>
  <si>
    <t xml:space="preserve">G63 </t>
  </si>
  <si>
    <t xml:space="preserve">A7 </t>
  </si>
  <si>
    <t xml:space="preserve">A8 </t>
  </si>
  <si>
    <t>% of single-headed households (separated, divorced, widowed) [aggregate indicator]</t>
  </si>
  <si>
    <t xml:space="preserve">A12 </t>
  </si>
  <si>
    <t xml:space="preserve">A13 </t>
  </si>
  <si>
    <t xml:space="preserve">% of households with presence of child marriage [aggregated indicator] </t>
  </si>
  <si>
    <t>% HH with at least one child (6-17) working [aggregate indicator]</t>
  </si>
  <si>
    <t xml:space="preserve">C11 </t>
  </si>
  <si>
    <t xml:space="preserve">G35 </t>
  </si>
  <si>
    <t xml:space="preserve">% HH with at least one individual with a chronic health condition </t>
  </si>
  <si>
    <t xml:space="preserve">In the past 30 days, did the person suffer from any of the following health conditions? </t>
  </si>
  <si>
    <t>Cross-cuting, Health, Protection</t>
  </si>
  <si>
    <t xml:space="preserve">% of HH with at least one member (aged 5 and above) that have difficulties ('lots of difficulty' or 'cannot do at all') to concentrate/remember </t>
  </si>
  <si>
    <t xml:space="preserve">C8 </t>
  </si>
  <si>
    <t>Does [this person] have difficulty seeing, even if wearing glasses?</t>
  </si>
  <si>
    <t>Does [this person] have difficulty hearing, even if using a hearing aid?</t>
  </si>
  <si>
    <t>Does [this person] have difficulty walking or climbing steps?</t>
  </si>
  <si>
    <t>Does [this person] have difficulty remembering or concentrating?</t>
  </si>
  <si>
    <t>Does [this person] have difficulty with (self-care, such as) washing all over or dressing?</t>
  </si>
  <si>
    <t>Using your usual (customary) language, does [this person] have difficulty communicating, for example understanding or being understood?</t>
  </si>
  <si>
    <t>Cross-cutting, Protection, Health, MA</t>
  </si>
  <si>
    <t xml:space="preserve">C2 </t>
  </si>
  <si>
    <t xml:space="preserve">C10 </t>
  </si>
  <si>
    <t xml:space="preserve">G4 </t>
  </si>
  <si>
    <t>% HH with at least one child dropped out after January 2014 [aggregate indicator]</t>
  </si>
  <si>
    <t>% HH with a functional primary and secondary school within 5km [aggregate indicator]</t>
  </si>
  <si>
    <t>% HH with at least one adult (18+) unemployed and seeking [aggregate indicator]</t>
  </si>
  <si>
    <t xml:space="preserve">Family Profile - Employment </t>
  </si>
  <si>
    <t>Family Profile - Disability</t>
  </si>
  <si>
    <t xml:space="preserve">G44 </t>
  </si>
  <si>
    <t>Family Profile - Child labor</t>
  </si>
  <si>
    <t>% of HH with at least one adult (18+) unemployed and seeking work [aggregate indicator]</t>
  </si>
  <si>
    <t>ain barriers to school for school-aged children</t>
  </si>
  <si>
    <t>G7a</t>
  </si>
  <si>
    <t xml:space="preserve">G45 </t>
  </si>
  <si>
    <t>% of HH with "moderately insecure" or "severely insecure" food security status, using CARI Analysis (composite using FCS, food expenditure share, and CS categories) [aggregate indicator]</t>
  </si>
  <si>
    <t>1. Over the last 7 days, how many days did your household consume the following food? (see questionnaire for full list)
2. What was the main source of the following food in the past 7 days? 
3. During the last 7 days, how many times (in days) did your household have to employ one of the following strategies (see questionnaire for full list) to cope with a lack of food or money to buy it?</t>
  </si>
  <si>
    <t>Food Security Index</t>
  </si>
  <si>
    <t xml:space="preserve">G14 </t>
  </si>
  <si>
    <t xml:space="preserve">G15 </t>
  </si>
  <si>
    <t xml:space="preserve">G16 </t>
  </si>
  <si>
    <t xml:space="preserve">B6 </t>
  </si>
  <si>
    <t xml:space="preserve">B7 </t>
  </si>
  <si>
    <t xml:space="preserve">Coping Strategies - Stress </t>
  </si>
  <si>
    <t xml:space="preserve">Coping Strategies - Crisis </t>
  </si>
  <si>
    <t xml:space="preserve">Coping Strategies - Emergency </t>
  </si>
  <si>
    <t>% of HH engaging in maximum coping strategies - stress [aggregate indicator]</t>
  </si>
  <si>
    <t>% of HH engaging in maximum coping strategies - crisis [aggregate indicator]</t>
  </si>
  <si>
    <t>% of HH engaging in maximum coping strategies - emergency [aggregate indicator]</t>
  </si>
  <si>
    <t>For each option: 
Yes
No</t>
  </si>
  <si>
    <t>Access to Routine and Supplmenetary Immunization (% of HH with at least one child aged 0-5 not vaccinated (measles, penta-3, AND polio) [aggregate indicator]</t>
  </si>
  <si>
    <t xml:space="preserve">G25 </t>
  </si>
  <si>
    <t xml:space="preserve">G26 </t>
  </si>
  <si>
    <t xml:space="preserve">G26a </t>
  </si>
  <si>
    <t>G26b</t>
  </si>
  <si>
    <t xml:space="preserve">G26c </t>
  </si>
  <si>
    <t xml:space="preserve">G26d </t>
  </si>
  <si>
    <t>% HH with children with psychosocial distress (proxy data with behaviour change) [aggregate indicator]</t>
  </si>
  <si>
    <t>% HH adults with psychosocial distress (proxy data with behavior change) [aggregate indicator]</t>
  </si>
  <si>
    <t xml:space="preserve">G32 </t>
  </si>
  <si>
    <t>G35 a</t>
  </si>
  <si>
    <t xml:space="preserve">Family Profile - Health </t>
  </si>
  <si>
    <t>% HH without access to sufficient quantity of safe water for drinking and domestic puproses (% HH with less than 50 litres of water per person) [aggregate indicator]</t>
  </si>
  <si>
    <t>% HH without access to safe water of good quality (% HH who require water treatment prior to drinking) [aggregate indicator]</t>
  </si>
  <si>
    <t xml:space="preserve">G101 </t>
  </si>
  <si>
    <t>% HH with access to improved functional sanitation facilities [aggregate indicator]</t>
  </si>
  <si>
    <t>% HH with access to soap and practicing handwashing [aggregate indicator]</t>
  </si>
  <si>
    <t>What type of shelter is the household currently living in? (observation by enumerator)</t>
  </si>
  <si>
    <t>House
Apartment
Hotel
Unfinished or abandoned residential building
Damaged residential building
Tent
Religious building
Public building (school, etc.)
Non-residential structure (garage, farm house, shop)
Container/caravan
Makeshift shelter (with scavenged material such as zinc sheets, cardboards, etc.)
RHU
Other</t>
  </si>
  <si>
    <t xml:space="preserve">A16 </t>
  </si>
  <si>
    <t xml:space="preserve">Cross-cutting, SNFI, Protection </t>
  </si>
  <si>
    <t xml:space="preserve">G64 </t>
  </si>
  <si>
    <t xml:space="preserve">G65 </t>
  </si>
  <si>
    <t xml:space="preserve">G90 </t>
  </si>
  <si>
    <t>NFI</t>
  </si>
  <si>
    <t xml:space="preserve">Electricity </t>
  </si>
  <si>
    <t xml:space="preserve">% single female headed HH whose average monthly income [from employment and pension] was less than 480,000 IQD/month [aggregate indicator] </t>
  </si>
  <si>
    <t xml:space="preserve">B3 </t>
  </si>
  <si>
    <t>1. [Household roster] What is this person's relation to the head of household?
2. [Household roster] What is the sex of this person? 
3.  What were your household's primary income sources over the last 30 days?  (do not read out from list) 
4. 
What was your households' total income in Iraqi Dinars over the last 30 days from the following sources: 
-Employment
-Pension</t>
  </si>
  <si>
    <r>
      <t xml:space="preserve">1. </t>
    </r>
    <r>
      <rPr>
        <b/>
        <sz val="10"/>
        <color rgb="FFFF0000"/>
        <rFont val="Arial"/>
        <family val="2"/>
      </rPr>
      <t>HoH</t>
    </r>
    <r>
      <rPr>
        <sz val="10"/>
        <color theme="1"/>
        <rFont val="Arial"/>
        <family val="2"/>
      </rPr>
      <t xml:space="preserve">; spouse of HoH; Child; Sibling; Parent; Child in law; Grand child; Parent in law; Nephew/niece; Other relatives; Guest; Friend
2. </t>
    </r>
    <r>
      <rPr>
        <b/>
        <sz val="10"/>
        <color rgb="FFFF0000"/>
        <rFont val="Arial"/>
        <family val="2"/>
      </rPr>
      <t>Female</t>
    </r>
    <r>
      <rPr>
        <sz val="10"/>
        <color theme="1"/>
        <rFont val="Arial"/>
        <family val="2"/>
      </rPr>
      <t>; Male
3. Saving
Income from renting house, land or property
Employment
Remittences
Retirement fund or pension
Selling household assets
Seelign assistance received
Loans, debts
MODM cash assistance
Support from community, friends, family
NGO or charity assistance
Social service (disability allowance)
Illegal or socially degrading activities (e.g. unlawful sales, begging, etc.)
Other
4. Integer for each option</t>
    </r>
  </si>
  <si>
    <t>% HH relying exclusively on humanitarian assistance as their main source of income [aggregate indicator]</t>
  </si>
  <si>
    <t>1. What were your household's primary income sources over the last 30 days?  (do not read out from list)
2. What was your household's total income in Iraqi Dinars over the last 30 days from the following sources: 
[humanitarian assistance]</t>
  </si>
  <si>
    <t xml:space="preserve">G46 </t>
  </si>
  <si>
    <t xml:space="preserve">G37 </t>
  </si>
  <si>
    <t>% of HH taking on debt due to healthcare, food, education, or basic household expenditures (or % HH unable to afford basic needs)</t>
  </si>
  <si>
    <t xml:space="preserve">G38 </t>
  </si>
  <si>
    <t xml:space="preserve">G41 </t>
  </si>
  <si>
    <t xml:space="preserve">G49 </t>
  </si>
  <si>
    <t xml:space="preserve">G50 </t>
  </si>
  <si>
    <t xml:space="preserve">F1 (G54) </t>
  </si>
  <si>
    <t xml:space="preserve">1. Was housing, land or property that you own damaged or destroyed during the recent conflict (after 2014)?
2. Have you applied for land, housing or property compensation?
3. Have you received any cash from the government as a result of your housing, land or property compensation application?
</t>
  </si>
  <si>
    <t>1. Yes; No
2. Yes; No
3. Yes; No</t>
  </si>
  <si>
    <t>% HH in need of property compensation and unable to access it [aggregate]</t>
  </si>
  <si>
    <t xml:space="preserve">F4 (G25, G26) </t>
  </si>
  <si>
    <t>F8 (G51)</t>
  </si>
  <si>
    <t>1. Is anyone in your family separated as a result of the 2014 conflict? 
2. If yes, have you/they taken any steps to facilitate reunification?</t>
  </si>
  <si>
    <t>1. Yes; No; Decline to answer
2. Yes; No; Decline to answer</t>
  </si>
  <si>
    <t xml:space="preserve">F10 </t>
  </si>
  <si>
    <t xml:space="preserve">D4 </t>
  </si>
  <si>
    <t xml:space="preserve">D5 </t>
  </si>
  <si>
    <t xml:space="preserve">% HH not satsified with [quanitity/quality/timeliness] </t>
  </si>
  <si>
    <t xml:space="preserve">D13 </t>
  </si>
  <si>
    <t xml:space="preserve">D11 </t>
  </si>
  <si>
    <t xml:space="preserve">D12 </t>
  </si>
  <si>
    <t xml:space="preserve">1. Are you aware of any people who may be unable to access available information because of specific needs? 
2. If yes, who were these persons? </t>
  </si>
  <si>
    <t>% locations where households do not have access to private or communal  latrines</t>
  </si>
  <si>
    <t>1. Was housing, land or property that you own damaged or destroyed that you own damaged during the conflict?
2. Have you applied for housing, land or property compensation?
3. Have you received any cash from the government as a result of your housing, land or property compensation application?</t>
  </si>
  <si>
    <t xml:space="preserve">F7 </t>
  </si>
  <si>
    <t xml:space="preserve">Cross-cutting,  HLP </t>
  </si>
  <si>
    <t>1. What were your household's primary income sources over the last 30 days?  (do not read out from list)
2. What was your households' total income in Iraqi Dinars over the last 30 days from the following sources: 
-Employment (remunerated activity)
-Pension</t>
  </si>
  <si>
    <t>1. Saving
Income from renting house, land or property
Employment
Remittences
Retirement fund or pension
Selling household assets
Seelign assistance received
Loans, debts
MODM cash assistance
Support from community, friends, family
NGO or charity assistance
Social service (disability allowance)
Illegal or socially degrading activities (e.g. unlawful sales, begging, etc.)
Other
2. Integer for each option [ &lt; 480,000 IQD / month]</t>
  </si>
  <si>
    <t>% of households whose average monthly income [from employment and pension] was less than 480,000 IQD/month [aggregate indicator]</t>
  </si>
  <si>
    <t xml:space="preserve">B1 </t>
  </si>
  <si>
    <t xml:space="preserve">G10 </t>
  </si>
  <si>
    <t xml:space="preserve">G11 </t>
  </si>
  <si>
    <t>G12</t>
  </si>
  <si>
    <t xml:space="preserve">G13 </t>
  </si>
  <si>
    <t xml:space="preserve">A17 </t>
  </si>
  <si>
    <t>C3-C8</t>
  </si>
  <si>
    <t xml:space="preserve">Yes
No
don't Know </t>
  </si>
  <si>
    <t xml:space="preserve">AAP </t>
  </si>
  <si>
    <t>DS - I. Long-term safety, security &amp; freedom of movement</t>
  </si>
  <si>
    <t>DS - II. Adequate standard of living</t>
  </si>
  <si>
    <t xml:space="preserve">Answered through G54 </t>
  </si>
  <si>
    <t>DS - III. Access to livelihoods &amp; employment</t>
  </si>
  <si>
    <t xml:space="preserve">Keep and comeplement with additional existing indicators from MCNA in analysis. Consider:  
% of HH with at least one adult (18+) unemployed and seeking work 
% HH with all working adults in unstable employment
Main sources of income (remittances; Humanitarian aid, Borrowing money, Selling household assets; MOMD cash assistance; Social protection network (MOLSA), Other safety nets; Other income source.)
</t>
  </si>
  <si>
    <t>DS - IV. Access to effective mechanisms to restore housing, land and property (HLP) or to provide compensation</t>
  </si>
  <si>
    <t>DS - IV. Use of mechanisms for effective remedies, incl. access to justice, reparations and information about the causes of violations</t>
  </si>
  <si>
    <t>DS - V. Access to and replacement of personal and other documentation</t>
  </si>
  <si>
    <t>DS - VI. Voluntary reunification with family members separated during displacement</t>
  </si>
  <si>
    <t>DS - VII. Participation in public affairs</t>
  </si>
  <si>
    <t>DS - VIII. Access to remedies</t>
  </si>
  <si>
    <t>Cross-cutting</t>
  </si>
  <si>
    <t>Indic #</t>
  </si>
  <si>
    <t>Cross-cutting, SNFI, CCCM, Protection</t>
  </si>
  <si>
    <t>Cross-cutting, Protection, CPSC</t>
  </si>
  <si>
    <t>Cross-cutting, MA</t>
  </si>
  <si>
    <t>EDC, CPSC, Protection</t>
  </si>
  <si>
    <t xml:space="preserve">Health, Protection </t>
  </si>
  <si>
    <t xml:space="preserve">HLP, SNFI </t>
  </si>
  <si>
    <t>HLP SNFI</t>
  </si>
  <si>
    <t>CPSC</t>
  </si>
  <si>
    <t>GBVSC</t>
  </si>
  <si>
    <t>GBV SC</t>
  </si>
  <si>
    <t>DS, Protection</t>
  </si>
  <si>
    <t>Intentions, Protection</t>
  </si>
  <si>
    <t>FSC</t>
  </si>
  <si>
    <t>Markets</t>
  </si>
  <si>
    <t>Family Profile - PLW</t>
  </si>
  <si>
    <t xml:space="preserve">Family Profile - Child Marriage </t>
  </si>
  <si>
    <t>Family Profile - SHH</t>
  </si>
  <si>
    <t xml:space="preserve">Family Profile - Age </t>
  </si>
  <si>
    <t xml:space="preserve">Family Profile - Sex </t>
  </si>
  <si>
    <t xml:space="preserve">Family Profile - Size </t>
  </si>
  <si>
    <t xml:space="preserve">Household Profile - Status </t>
  </si>
  <si>
    <t>During the past 30 days, did anyone in your household do any of the following things because there was not enough food or money to buy it? 
-Selling HH properties
-Buying food oncredit or through borrowed money from relatives and friends
-Sellins means of transport
-Children dropout from school
-Reducing expenditure on non-food items (health, education)
-Changing place of residence and accomodation to reduce expenses
-Accepting that adults of the family are engaged in illegal acts and risks
-Accepting that adult females of the family are engaged in illegal acts and risks
-Children under 18 work to provide resources
-Whole family are migrating
-Child marriage or forced marriage (for adults)</t>
  </si>
  <si>
    <r>
      <t xml:space="preserve">DTM ML 110; ILA </t>
    </r>
    <r>
      <rPr>
        <sz val="10"/>
        <color rgb="FFFF0000"/>
        <rFont val="Arial"/>
        <family val="2"/>
      </rPr>
      <t>(or use  CCCM?)</t>
    </r>
  </si>
  <si>
    <t>1, 2</t>
  </si>
  <si>
    <t xml:space="preserve">3, 4 </t>
  </si>
  <si>
    <t xml:space="preserve">2, 3, 4 </t>
  </si>
  <si>
    <t xml:space="preserve">2, 3 </t>
  </si>
  <si>
    <t>2, 4</t>
  </si>
  <si>
    <t xml:space="preserve">2, 4 </t>
  </si>
  <si>
    <t>3, 4</t>
  </si>
  <si>
    <t>great</t>
  </si>
  <si>
    <t>DoE</t>
  </si>
  <si>
    <t>DoEs</t>
  </si>
  <si>
    <t>MCNA VII [PiN indicator: % HHs able to access healthcare]</t>
  </si>
  <si>
    <t>%  locations where households do not have enough water for their needs</t>
  </si>
  <si>
    <t xml:space="preserve">% % locations where IDP HHs have been reportdely evicted (either sent back forcibly to their area of origin, or forced to relocate within location of displacement </t>
  </si>
  <si>
    <t>% of locations where people experience daytime movement restrictions within the governorate</t>
  </si>
  <si>
    <t>% locations with a functional market/shop providing basic items and food, or within 5km distance away</t>
  </si>
  <si>
    <t xml:space="preserve">% locations where most IDP/returnee households do not have sufficient access to food </t>
  </si>
  <si>
    <t>% locations (with access to functional schools) who reported sufficient teachers</t>
  </si>
  <si>
    <t>Approximately what proportion of IDP/returnee school-aged children (6-12 years old) are attending primary school?</t>
  </si>
  <si>
    <t>Approximately what proportion of IDP/returnee school-aged children (13-17 years old) are attending primary school?</t>
  </si>
  <si>
    <t>Have any of the IDP families who were staying in this location been forced to leave the location and return to their area of origin since the last reporting date\round? 
Ex: a camp is closed and people are forced to return
Have any of the IDP families who were staying in this location been forced to relocate (within the location of displacement) from their shelter since the last reporting date\round? 
Ex: families are being evicted from a collective shelter and have no other shelter option</t>
  </si>
  <si>
    <t> Yes   No  I don’t know  I don’t want to answer</t>
  </si>
  <si>
    <t>In the last three months, did any of the following security incidents occur in this location (regardless of who the perpetrator was)?: (Use response option ERWs, landmines, UXOs)</t>
  </si>
  <si>
    <t>What is the number of IDP families currently living in these shelter categories?</t>
  </si>
  <si>
    <t>What is the number of returnee families currently living in these shelter categories?</t>
  </si>
  <si>
    <t>Analysis</t>
  </si>
  <si>
    <t xml:space="preserve">CPSC would like to have % of HH with members (under 18) with diability </t>
  </si>
  <si>
    <t xml:space="preserve">CPSC would like % of married children by age and gender breakdown by type of population, very helpful. </t>
  </si>
  <si>
    <t>CPSC needs age and gender breakdown of the children HH members who are working</t>
  </si>
  <si>
    <t>% of HH with at least one child (6-17) not attending formal or informal education regularly (at least 3 days a week) [aggregate indicator]</t>
  </si>
  <si>
    <t>CPSC would like to have age &amp; gender breakdown of children out of learning</t>
  </si>
  <si>
    <t>% of families where the head of household has a disability which affect the person’s ability to perform daily living activities?</t>
  </si>
  <si>
    <t>% of households with Food security status (Food secure, Vulnerable to food insecurity, Food insecure) (using CARI Analysis).</t>
  </si>
  <si>
    <t>EL</t>
  </si>
  <si>
    <t>% of female headed HHs</t>
  </si>
  <si>
    <t xml:space="preserve"> </t>
  </si>
  <si>
    <t>Full alignment of ILA/IOM and MCNA VII was not possible: the themes are similar, and could be easily grouped during the analysis when cross-checking ILA and MCNA findings ((1) security reasons, (2) HLP reasons, (3) access to basic services, (4) livelihoods, etc.)</t>
  </si>
  <si>
    <t xml:space="preserve">CHECK if it can be calculated </t>
  </si>
  <si>
    <t xml:space="preserve"> 1, 2 </t>
  </si>
  <si>
    <t>1, 4</t>
  </si>
  <si>
    <t xml:space="preserve">1,3 </t>
  </si>
  <si>
    <t xml:space="preserve">Cluster Severity </t>
  </si>
  <si>
    <t xml:space="preserve">Use in conjunction/trianglate with ILA indicators </t>
  </si>
  <si>
    <t xml:space="preserve">larification:  MCNA 3 months = short-term, 12 months = long term. ILA collects this info witthout a deadline. Therefore for IOM research, 3-12 months is short to meridum-term, and consider ILA collecting info  without any deadline, which is why they are considering this as long term. </t>
  </si>
  <si>
    <t xml:space="preserve">Guidance for analysis: aggregate three types of coping mechanisms when calculating severity (Stress options include: Selling household property; buying food on credit; borrowing money through friends and relatives; reducing expenditures on NFI) 
CPSC: please provide % of the options answered by each HH by type of the population. 
</t>
  </si>
  <si>
    <t>Guidance for analysis: aggregate three types of coping mechanisms when calculating severity (Crisis options include: Selling means of transport; Changing place of residence; Children under 18 owrking to provide resources) . CPSC: please provide % of the options answered by each HH by type of the population</t>
  </si>
  <si>
    <t>Guidance for analysis: Aggregate three types of coping mechanisms when calculating severity (Emergency options include: Children dropping out from school; accepting that adults engage in risky behavior; Migration of all family; Children or adult forcefully married) . 
CPSC: please provide % of the options answered by each HH by type of the population</t>
  </si>
  <si>
    <t>CPSC would like to have % of the HH who answered CP options (Civil documentation, child marriage and violence at school) are the reasons of not being in the school. @ REACH: Options updated and proposed CPSC options are not disaggregated (!)</t>
  </si>
  <si>
    <t xml:space="preserve">  </t>
  </si>
  <si>
    <t>% for each option</t>
  </si>
  <si>
    <t>Indicative: % and # by age and gender breakdown</t>
  </si>
  <si>
    <t>#</t>
  </si>
  <si>
    <t>Disability
Women-headed households
Pregnant and lactating women
Income groups</t>
  </si>
  <si>
    <t xml:space="preserve">% of HH with children missing ID or missing birth certificate (above 1 and under 1)
Severity calculated depending on how many documents are missing per household. </t>
  </si>
  <si>
    <t>Disagregation per type of coping strategy</t>
  </si>
  <si>
    <t>HNO - gender breakdown
Not HNO - % HH with children with disability</t>
  </si>
  <si>
    <t>Indicative: % and # by age and gender breakdown
Rephrase indicator to "reported observed…"</t>
  </si>
  <si>
    <t>Rephrase indicator to "reported observed…"</t>
  </si>
  <si>
    <t>Disagregate by female/male headed household</t>
  </si>
  <si>
    <t>ANALYSIS FEEDBACK FOLLOWING AWG-CLUSTERS CONSULTATIONS July 21 -  August 5 on MCNA indicators</t>
  </si>
  <si>
    <t xml:space="preserve">Pillar </t>
  </si>
  <si>
    <t xml:space="preserve">CONTEXT </t>
  </si>
  <si>
    <t xml:space="preserve">EVENT/SHOCK </t>
  </si>
  <si>
    <t xml:space="preserve">IMPACT </t>
  </si>
  <si>
    <t xml:space="preserve">HUMANITARIAN CONDITIONS </t>
  </si>
  <si>
    <t xml:space="preserve">Humanitarian Access </t>
  </si>
  <si>
    <t xml:space="preserve">Impact on People </t>
  </si>
  <si>
    <t xml:space="preserve">Impact on Systems and Services </t>
  </si>
  <si>
    <t xml:space="preserve">Sub-pillar </t>
  </si>
  <si>
    <t xml:space="preserve">Political </t>
  </si>
  <si>
    <t xml:space="preserve">Legal and policy </t>
  </si>
  <si>
    <t xml:space="preserve">Environment </t>
  </si>
  <si>
    <t>Economy</t>
  </si>
  <si>
    <t xml:space="preserve">Socio-cultural </t>
  </si>
  <si>
    <t xml:space="preserve">Technological </t>
  </si>
  <si>
    <t xml:space="preserve">Demography </t>
  </si>
  <si>
    <t xml:space="preserve">Security </t>
  </si>
  <si>
    <t xml:space="preserve">Infrastructure </t>
  </si>
  <si>
    <t xml:space="preserve">Drivers </t>
  </si>
  <si>
    <t xml:space="preserve">Underlying factors - existing vulnerabilities </t>
  </si>
  <si>
    <t xml:space="preserve">Source of information </t>
  </si>
  <si>
    <t xml:space="preserve">Relevant sector/cluster </t>
  </si>
  <si>
    <t xml:space="preserve">DTM Master List, Returns Index, </t>
  </si>
  <si>
    <t>None/Minimal (1)</t>
  </si>
  <si>
    <t>Extreme (4)</t>
  </si>
  <si>
    <t>Catastrophic (5)</t>
  </si>
  <si>
    <t>Severity scale and thresholds</t>
  </si>
  <si>
    <t xml:space="preserve">Access Severity Mapping </t>
  </si>
  <si>
    <t xml:space="preserve">INSO </t>
  </si>
  <si>
    <t>% of HHs with access to a functional domestic living space</t>
  </si>
  <si>
    <t xml:space="preserve">Indicators  </t>
  </si>
  <si>
    <t xml:space="preserve">Media </t>
  </si>
  <si>
    <t>Depends</t>
  </si>
  <si>
    <t xml:space="preserve">Living Standards </t>
  </si>
  <si>
    <t xml:space="preserve">Coping Strategies </t>
  </si>
  <si>
    <t xml:space="preserve">Mental and Physical Well-being </t>
  </si>
  <si>
    <t>CURRENT/FORECASTED PRIORITY NEEDS</t>
  </si>
  <si>
    <t>HC - JIAF + Cluster Input</t>
  </si>
  <si>
    <t xml:space="preserve"> No. </t>
  </si>
  <si>
    <t>WB</t>
  </si>
  <si>
    <t>LS</t>
  </si>
  <si>
    <t>P</t>
  </si>
  <si>
    <t xml:space="preserve">R </t>
  </si>
  <si>
    <t xml:space="preserve">Cluster/WG Feeedback </t>
  </si>
  <si>
    <t>Cross-cutting 
(CWG + Educ + Protection + FSC + ELC)</t>
  </si>
  <si>
    <t xml:space="preserve">% HH relying on stress, crisis and emergency strategies to cope with a lack of resources to meet basic needs. </t>
  </si>
  <si>
    <t>X</t>
  </si>
  <si>
    <t>HH selected:
Selling household property; 
Buying food on credit;
Borrowing money through friends and relatives; 
Reducing expenditures on NFI</t>
  </si>
  <si>
    <t>HH Selected:
Selling means of transport; 
Changing place of residence; 
Children under 18 owrking to provide resources)</t>
  </si>
  <si>
    <t xml:space="preserve">HH Selected:
Children dropping out from school; 
Accepting that adults engage in risky behavior; 
Migration of all family; 
Children or adult forcefully married) </t>
  </si>
  <si>
    <t xml:space="preserve">CONFIRMED </t>
  </si>
  <si>
    <t>Cross-cutting 
(CWG + Disability)</t>
  </si>
  <si>
    <t>(JIAF Indicator) % of household members with disability  ("lots of difficulty" or "cannot do at all" one of the following activities: seeing, hearing, walking/climbing steps, remembering/concerntrating, self-care, communicating)</t>
  </si>
  <si>
    <t>0%-5%</t>
  </si>
  <si>
    <t>6%-20%</t>
  </si>
  <si>
    <t>21%-39%</t>
  </si>
  <si>
    <t>40%-49%</t>
  </si>
  <si>
    <t>&gt;50%</t>
  </si>
  <si>
    <t>Cross-Cutting 
(SNFI + CCCM)</t>
  </si>
  <si>
    <t>% HHs needing basic NFI items</t>
  </si>
  <si>
    <t>HH does not need any  NFIs</t>
  </si>
  <si>
    <t xml:space="preserve">HH needs 1 NFI item </t>
  </si>
  <si>
    <t xml:space="preserve">HH needs 2 NFI items  </t>
  </si>
  <si>
    <t>HH needs 3 NFI items</t>
  </si>
  <si>
    <t xml:space="preserve">HH needs 4 or more NFI items </t>
  </si>
  <si>
    <t>CONFIRMED (can be removed at a later stage if it is inflating PIN numbers , as the understanding is that the question is phrased in such a way that people will be naturally replying in the affirmative related to needing goods)</t>
  </si>
  <si>
    <t>HH does not need any shelter improvements</t>
  </si>
  <si>
    <t>HH needs
(2) improved security of tenure, and or 
(6) improved basic infrastructure and utilities</t>
  </si>
  <si>
    <t>HH needs 
(4) imrpved privacy and dignity, and or
(5) protection from climatic conditions</t>
  </si>
  <si>
    <t>HH needs 
(1) protection from hazards, and or 
(3)improved safety and security, and or
(7) improved structural stability of the building.</t>
  </si>
  <si>
    <t>CONFIRMED 
(check comment to see the categories of respons used in the scoring of the indicator as submitted by SNFI)</t>
  </si>
  <si>
    <t>% HHs living in critical shelters</t>
  </si>
  <si>
    <t>HH is not in a critical shelter</t>
  </si>
  <si>
    <t>HH is in a critical shelter</t>
  </si>
  <si>
    <t>Cross-Cutting
 (General + GBV)</t>
  </si>
  <si>
    <t>HH head is male</t>
  </si>
  <si>
    <t>HH head is female</t>
  </si>
  <si>
    <t>Cross-Cutting
 (Disability + MA)</t>
  </si>
  <si>
    <t>% HH with individuals whose disability is related to an explosive hazard</t>
  </si>
  <si>
    <t>No explosive hazard disability in the HH</t>
  </si>
  <si>
    <t>HH member has disability with a (a lot of difficulty) due to explosive hazard</t>
  </si>
  <si>
    <t>HH member has disability with (cannot do at all) due to explosive hazard</t>
  </si>
  <si>
    <t>Cross-Cutting 
(AAP)</t>
  </si>
  <si>
    <t>% of households in need who are satisfied with the assistance received from aid providers in the last 30 days</t>
  </si>
  <si>
    <t>HH receiving assistance in last 30 days is satisfied with quality, quantity, behaviour of humanitarian workers, relevance and timeliness of response</t>
  </si>
  <si>
    <r>
      <t xml:space="preserve">HH receiving assistance in last 30 days is satisfied with
 timeliness, quality, relevance and humanitarian workers behaviours
 HH is not satisfied with </t>
    </r>
    <r>
      <rPr>
        <b/>
        <sz val="9"/>
        <color theme="0"/>
        <rFont val="Arial"/>
        <family val="2"/>
      </rPr>
      <t>Quantity</t>
    </r>
  </si>
  <si>
    <r>
      <t xml:space="preserve">HH receiving assistance in last 30 days is satisfied with timeliness, relevance and humanitarian workers behaviour
 HH is not satisfied with </t>
    </r>
    <r>
      <rPr>
        <b/>
        <sz val="9"/>
        <color theme="0"/>
        <rFont val="Arial"/>
        <family val="2"/>
      </rPr>
      <t>quality</t>
    </r>
    <r>
      <rPr>
        <sz val="9"/>
        <color theme="0"/>
        <rFont val="Arial"/>
        <family val="2"/>
      </rPr>
      <t xml:space="preserve"> </t>
    </r>
  </si>
  <si>
    <r>
      <t xml:space="preserve">HH receiving assistance in last 30 days is satisfied with humanitarian workers behaviour
 HH is not satisfied with </t>
    </r>
    <r>
      <rPr>
        <b/>
        <sz val="9"/>
        <color theme="0"/>
        <rFont val="Arial"/>
        <family val="2"/>
      </rPr>
      <t>timeliness</t>
    </r>
  </si>
  <si>
    <t>HH receiving assistance in last 30 days is not satisfied with humanitarian workers behaviour</t>
  </si>
  <si>
    <t>Education, Protection</t>
  </si>
  <si>
    <t>% HH with at least one child (aged 6-17) not attending formal or informal education regularly (at least 3 days a week)</t>
  </si>
  <si>
    <t xml:space="preserve">All children in HH (aged 6-17) are attending formal or informal education facilities </t>
  </si>
  <si>
    <t>75%-99% of school aged children (aged 6-17) are attending formal or informal education facilities</t>
  </si>
  <si>
    <t>50%-74% of school aged children (aged 6-17) are attending formal or informal education facilities</t>
  </si>
  <si>
    <t>25%-49% of school aged children (aged 6-17) are attending formal or informal education facilities</t>
  </si>
  <si>
    <t>0-24% of school aged children (aged 6-17) are attending formal or informal education facilities</t>
  </si>
  <si>
    <t>indicator confirmed. Thresholds to be harmonized between CPSC and EDC</t>
  </si>
  <si>
    <t>% HH with "moderately insecure" or "severely insecure" food security status, (composite using FCS and rCSI)</t>
  </si>
  <si>
    <t>HH has:
Acceptable food consumption AND Low dependency on coping strategies</t>
  </si>
  <si>
    <t>HH has:
Acceptable food consumption AND Medium dependency on coping strategies
OR
Borderline food consumption AND Low dependency on coping strategies</t>
  </si>
  <si>
    <t>HH has:
Acceptable food consumption AND High dependency on coping strategies
OR
Borderline food consumption AND Medium dependency on coping strategies
OR
Poor food consumption AND Low dependency on coping strategies</t>
  </si>
  <si>
    <t>HH has:
Poor food consumption AND Medium dependency on coping strategies
OR
Borderling food consumption AND High dependency on coping strategies</t>
  </si>
  <si>
    <t>HH has:
Poor food consumption AND High dependency on coping strategies</t>
  </si>
  <si>
    <t xml:space="preserve">% HH with access to a functional health facility (hospital) within 5km </t>
  </si>
  <si>
    <t xml:space="preserve">HH has access to a health facility within 2km </t>
  </si>
  <si>
    <t xml:space="preserve">HH has access to a health facility within 5km </t>
  </si>
  <si>
    <t>HH does not have access to a 
Hospital &lt; 10km</t>
  </si>
  <si>
    <t xml:space="preserve">HH does not have access to a 
Hospital &gt; 10km
</t>
  </si>
  <si>
    <t>HH does not have access to a Health facility at all</t>
  </si>
  <si>
    <t xml:space="preserve">% HH with access to a functional health facility (PHCC)  within 5km </t>
  </si>
  <si>
    <t xml:space="preserve">HH has access to a PHCC within 5km </t>
  </si>
  <si>
    <t>HH does not have access to a PHCC within 5km</t>
  </si>
  <si>
    <t>HH does not have access to a PHCC at all</t>
  </si>
  <si>
    <t>% HH with at least one adult (18+) unemployed and seeking work</t>
  </si>
  <si>
    <t>No unemployment in the HH</t>
  </si>
  <si>
    <t>&gt; 0 %AND &lt;= 50% of adults is unemployed and seeking work</t>
  </si>
  <si>
    <t>&gt; 50 %AND &lt;= 70% of adults is unemployed and seeking work</t>
  </si>
  <si>
    <t>&gt; 70 %AND &lt;= 90% of adults is unemployed and seeking work</t>
  </si>
  <si>
    <t>&gt; 90% of adults is unemployed and seeking work</t>
  </si>
  <si>
    <t>% HH unable to afford basic needs (% HH taking on debt due to healthcare, food, education, or basic household expenditures)</t>
  </si>
  <si>
    <t>HH is not taking on debt to afford basic needs</t>
  </si>
  <si>
    <t>HH is taking on debt to afford education or basic household expenditures</t>
  </si>
  <si>
    <t>HH is taking on debt to afford healthcare</t>
  </si>
  <si>
    <t>HH is taking on debt to afford  food</t>
  </si>
  <si>
    <t xml:space="preserve">%HH with debt value in the [amount] </t>
  </si>
  <si>
    <t>0 to $400</t>
  </si>
  <si>
    <t>&gt;$400 and &lt;= 600</t>
  </si>
  <si>
    <t>&gt; $600 and &lt;= 800</t>
  </si>
  <si>
    <t>&gt; $800 and &lt;=$1000</t>
  </si>
  <si>
    <t>&gt; $1000</t>
  </si>
  <si>
    <t>Women and girls do not avoid areas</t>
  </si>
  <si>
    <t>Women and girls avoid one area because they feel unsafe</t>
  </si>
  <si>
    <t>Women and girls avoid two areas because they feel unsafe</t>
  </si>
  <si>
    <t>Women and girls avoid three areas because they feel unsafe</t>
  </si>
  <si>
    <t>Women and girls avoid four or more area because they feel unsafe</t>
  </si>
  <si>
    <t xml:space="preserve">% HH missing at least one key household or individual document </t>
  </si>
  <si>
    <t>HH missing no key household or individual document</t>
  </si>
  <si>
    <t>HH not missing  
NOT any of
(pds, info_card, id_card, birth_certificate, citzienship cert.)</t>
  </si>
  <si>
    <t>HH missing =&lt;2 core documents (pds, info_card, id_card, birth_certificate, citzienship cert.)</t>
  </si>
  <si>
    <t>HH missing &gt;= 3 core documents (pds, info_card, id_card, birth_certificate, citzienship cert.)</t>
  </si>
  <si>
    <t>HH missing &gt;= 4 or more core documents (pds, info_card, id_card, birth_certificate, citzienship cert.)</t>
  </si>
  <si>
    <t>REVISED</t>
  </si>
  <si>
    <t>% HHs reporting fearing eviction</t>
  </si>
  <si>
    <t>HH does not fear eviction</t>
  </si>
  <si>
    <t>HH fears eviction as HH:
-  Lacks funds to pay rental costs
- Request to vacate from owner of building/land
-No valid tenancy agreement</t>
  </si>
  <si>
    <t>HH fears eviction because:
- Host family no longer able to host family
- Local community does not accept family living in the area
- Ownership of property is disputed</t>
  </si>
  <si>
    <t>HH fears eviction because:
- Authorities requested HH to leave
-Inadequate housing / shelter conditions
- Housing occupied by other groups
- Risk of property being confiscated</t>
  </si>
  <si>
    <t xml:space="preserve">% HH without access to sufficient quantity of safe water for drinking and domestic puproses </t>
  </si>
  <si>
    <t>More than 80 l/d/p</t>
  </si>
  <si>
    <t>50 or more but less than 80 l/d/p</t>
  </si>
  <si>
    <t>15 or more but less than 50 l/d/p</t>
  </si>
  <si>
    <t>7.5 or more but less than 15 l/d/p</t>
  </si>
  <si>
    <t>Less than 7.5 l/d/p</t>
  </si>
  <si>
    <t>% HH who require water treatment prior to drinking</t>
  </si>
  <si>
    <t>Water comes from an improved water source including:
Piped water into compound</t>
  </si>
  <si>
    <t>Water comes from an improved water source including:
Piped water connected to public tap
Borehole
Protected well
Protected rainwater tank
Protected spring</t>
  </si>
  <si>
    <t>Water comes from an improved source including:
Bottled water
Water Trucking</t>
  </si>
  <si>
    <t>Water comes from an unimproved water source</t>
  </si>
  <si>
    <t>Water comes directly from rivers, lakes, ponds, etc.</t>
  </si>
  <si>
    <t xml:space="preserve">Wellbeing </t>
  </si>
  <si>
    <t xml:space="preserve">confirmed </t>
  </si>
  <si>
    <t xml:space="preserve">further discussion needed </t>
  </si>
  <si>
    <t xml:space="preserve">no input received </t>
  </si>
  <si>
    <t>R</t>
  </si>
  <si>
    <t xml:space="preserve">Resilience, Recovery </t>
  </si>
  <si>
    <t>JIAF</t>
  </si>
  <si>
    <t xml:space="preserve">Joint Inter-sectoral Analysis Framework </t>
  </si>
  <si>
    <t>Severity</t>
  </si>
  <si>
    <t xml:space="preserve">Description </t>
  </si>
  <si>
    <t>Living standards are acceptable (taking into account the context): possibility of having some signs of deterioration and/or inadequate social basic services, possible needs for strengthening the Legal framework.</t>
  </si>
  <si>
    <t>Ability to afford/meet essential all basic needs without adopting unsustainable coping mechanisms (such as erosion/depletion of assets).</t>
  </si>
  <si>
    <t>No or minimal/low risk of impact on well-being.</t>
  </si>
  <si>
    <t>Living standards under stress, leading to adoption of coping strategies (that reduce ability to protect or invest in livelihoods).</t>
  </si>
  <si>
    <t>Reduced quality or stressed social/basic services.</t>
  </si>
  <si>
    <t>Inability to afford/meet some basic needs without adopting stressed, unsustainable and/or short-term reversible coping mechanisms.</t>
  </si>
  <si>
    <t>Minimal impact on well-being (stressed physical/mental well-being) overall.</t>
  </si>
  <si>
    <t>Possibility of having some localized/targeted incidents of violence (including human rights violations).</t>
  </si>
  <si>
    <t xml:space="preserve">Degrading living standards (from usual/typical), leading to adoption of negative coping mechanisms with threat of irreversible harm (such as accelerated erosion/depletion of assets). </t>
  </si>
  <si>
    <t>Reduced access/availability of social/basic goods and services</t>
  </si>
  <si>
    <t>Inability to meet some basic needs without adopting crisis/emergency - short/medium term irreversible - coping mechanisms.</t>
  </si>
  <si>
    <t xml:space="preserve">Degrading well-being. Physical and mental harm resulting in a loss of dignity. </t>
  </si>
  <si>
    <t>Collapse of living standards, with survival based on humanitarian assistance and/or long term irreversible extreme coping strategies.</t>
  </si>
  <si>
    <t>Partial collapse of social/basic goods and services.</t>
  </si>
  <si>
    <t>Extreme loss/liquidation of livelihood assets that will lead to large gaps/needs in the short term.</t>
  </si>
  <si>
    <t xml:space="preserve">Widespread physical and mental harm (but still reversible). Widespread grave violations of human rights. Presence of irreversible harm and heightened mortality </t>
  </si>
  <si>
    <t>Total collapse of living standards.</t>
  </si>
  <si>
    <t>Total collapse of social/basic services.</t>
  </si>
  <si>
    <t>Near/Full exhaustion of coping options.</t>
  </si>
  <si>
    <t>Last resort coping mechanisms/exhausted.</t>
  </si>
  <si>
    <t>Widespread mortality (CDR, U5DR) and/or irreversible harm. Widespread physical and mental irreversible harm leading to excess mortality.</t>
  </si>
  <si>
    <t>Widespread grave violations of human rights.</t>
  </si>
  <si>
    <t>Core Cluster indicator</t>
  </si>
  <si>
    <t>PIN / severity</t>
  </si>
  <si>
    <t>Notes from indicator owner in Iraq</t>
  </si>
  <si>
    <t>Camps - notes on data availability</t>
  </si>
  <si>
    <t>Informal sites - notes on data availability</t>
  </si>
  <si>
    <t>No</t>
  </si>
  <si>
    <t>Might need to be revised based on the information available (camps)</t>
  </si>
  <si>
    <t>Information might not be sufficent to answer the question based on the criteria defined. Potential solution: crosscheck with other sources like GTS assessments.</t>
  </si>
  <si>
    <t>FSMT: Is there a mechanism in the camp where residents can make a complaint or request information about any issue or service in the camp? (NOT the IIC) (Yes / No / Don't know)
FSMT: If yes, how can camp residents make complaints or request information? (Types of CFM in place e.g. info desk, hotline...)
MCNA/Camp Profiling: Are you aware of how to access complaint mechanisms? (Yes / No / Don't know)
MCNA/Camp Profiling: additional questions on whether a complaint has been made, and satisfaction with the process</t>
  </si>
  <si>
    <t xml:space="preserve">Data not available (not included in ILA informal sites questions) </t>
  </si>
  <si>
    <t xml:space="preserve">Criteria is not directly linked to the type of indicator. </t>
  </si>
  <si>
    <t>Cluster monthly reporting: This indicator can be answered based on the population data crosschecked with the presence of CCCM partners in the camps
Camp profiling could be help for physical size of site</t>
  </si>
  <si>
    <t xml:space="preserve">ILA &amp; Cluster monthly reporting: cross-check between informal site populations (and possibly severity of need?), and presence of CCCM partners </t>
  </si>
  <si>
    <t>yes (camps)</t>
  </si>
  <si>
    <t xml:space="preserve">FSMT/Camp Profiling: These two surveys collect the information on the type and quality of the camp committees, and its relation with the population. </t>
  </si>
  <si>
    <t>FSMT: presence of camp committees in the site (list of committees)
FSMT: were members of camp committees elected? (yes / no / don't know)
FSMT: presence of sector &amp; block representatives in the site
FSMT: proportion of women among sector &amp; block representatives in the site
FSMT: were sector &amp; block leaders elected? (yes / no / don't know)
MCNA/camp profiling: Do you feel these existing camp committees are representative of the camp population?</t>
  </si>
  <si>
    <t>List of basic services to be finalized. May include: 
FSMT: primary health centre availability within camp (thus, within 30 min walking distance) / PHC availability outside the camp (walking distance)
FSMT: market availability inside the camp / market walking distance if outside the camp
FSMT: solid waste management service in the camp
FSMT: drinking water provision type
FSMT: primary school presence in the camp / primary school walking distance outside the camp 
FSMT: secondary school presence in the camp / secondary school walking distance outside the camp
Camp Profiling: Information availble in "challenges to access to basic services", not per distance criteria</t>
  </si>
  <si>
    <t>ILA: information available at location (neighbourhood) level 
ILA: info at informal site level:
'- sufficient access to drinking water
- solid waste management collection</t>
  </si>
  <si>
    <t xml:space="preserve">main indicator due to the character of the CCCM Activities.
</t>
  </si>
  <si>
    <t>Cluster monthly reporting: camp population data + SADD from either FSMT or using MCNA/camp profiling</t>
  </si>
  <si>
    <t xml:space="preserve">ILA + Cluster monthly reporting data </t>
  </si>
  <si>
    <t>Possibly</t>
  </si>
  <si>
    <t>Might need to be revised based on the information available</t>
  </si>
  <si>
    <t>There is no one data source for this indicators, it will required to crosscheck data from  different sources.
Functional and appropriate social and commnual spaces requires some interpretation. Need interpretation of the data in the Camp Profiling and FSMT. 
It is an non-objective indicator</t>
  </si>
  <si>
    <t>The site is not located in an area of high risk of natural hazards (flooding, landslide etc --- FSMT: sites experiencing flooding in last 6 months
 The site has a functional and appropriate administrative space ---- FSMT: presence of office for camp management
 The site has functional and appropriate social and communal spaces ---- info on recreation facilities and community centres not available
 Site facilities are maintained --- Cluster monthly reporting</t>
  </si>
  <si>
    <t>Data not available (not included in ILA informal sites questions) 
Global questions are not very relevant for Iraq informal sites. More useful (which data is available through ILA for), include:
- shelter type
- risk of eviction</t>
  </si>
  <si>
    <t>num</t>
  </si>
  <si>
    <t>Sector</t>
  </si>
  <si>
    <t>Sub- sector</t>
  </si>
  <si>
    <t>Pillar</t>
  </si>
  <si>
    <t>Sub pillar</t>
  </si>
  <si>
    <t>Indicator Name/label</t>
  </si>
  <si>
    <t>Forecast indicators</t>
  </si>
  <si>
    <t>JIAF Priority level</t>
  </si>
  <si>
    <t>Data collection technique</t>
  </si>
  <si>
    <t>Recommended source</t>
  </si>
  <si>
    <t>Notes from indicator owner</t>
  </si>
  <si>
    <t>Shelter</t>
  </si>
  <si>
    <t>Enclosure</t>
  </si>
  <si>
    <t>Humanitarian conditions</t>
  </si>
  <si>
    <t>Living Standards</t>
  </si>
  <si>
    <t>% of HH whose dwelling enclosure provides adequate security, privacy, and maintains possessions</t>
  </si>
  <si>
    <t>Household: Occupants are fully secure. Dwelling encloses the occupants and their property so that they are fully secure and private. Little or no intervention required.</t>
  </si>
  <si>
    <t>Household: Occupants are mostly secure. Dwelling enclosure shows minor privacy deficiencies but maintains security for most household possessions with possible minor repairable deficiencies.</t>
  </si>
  <si>
    <t>Household: Occupants have moderate insecurity. Household is moderately exposed to external observation and possessions are not lockable, however they may be able to be concealed. Repairs are required.</t>
  </si>
  <si>
    <t>Household: Occupants have severe insecurity. Dwelling enclosure is very compromised with very poor privacy aspects and possessions are very exposed.</t>
  </si>
  <si>
    <t>Household: Dwelling occupants are fully insecure. Dwelling provides no security to possessions with possible theft/loss and no external privacy.</t>
  </si>
  <si>
    <t>Corresponds somehow to ind. 3 and 9</t>
  </si>
  <si>
    <t>% of HH with interior partition(s)</t>
  </si>
  <si>
    <t>All dwellings have interior partitions</t>
  </si>
  <si>
    <t>10% of HH lack interior partitions</t>
  </si>
  <si>
    <t>20% of HH lack interior partitions</t>
  </si>
  <si>
    <t>30% of HH lack interior partitions</t>
  </si>
  <si>
    <t>40% of HH lack interior partitions</t>
  </si>
  <si>
    <t>Not existing for IRQ. Not sure this indic. can provide an idea of shelter needs - very detailed, activity-related one</t>
  </si>
  <si>
    <t>% of HHs whose dwelling enclosure provides adequate safety to the occupants, protection from exposure, and low risk of failure in predictable hazards.</t>
  </si>
  <si>
    <t>Household:  Occupants are fully safe. Dwelling unit is structurally safe and encloses the residents and their property so that they are warm and dry. Little or no intervention required.</t>
  </si>
  <si>
    <t>Household: Occupants are mostly safe. Dwelling enclosure shows cosmetic deficiencies but maintains healthy structural and performance standards for weather protection with possible minor repairable deficiencies.</t>
  </si>
  <si>
    <t>Household: Occupants are moderately unsafe. Dwelling enclosure performance is moderately compromised, some exposure to weather-related (heat, cold, water) and extended living in this state can lead to deterioration of domestic health or building enclosure integrity. Repairs are required.</t>
  </si>
  <si>
    <t>Household: Occupants are severely unsafe. Dwelling enclosure performance is severely compromised so that occupant health/injury is at immediate risk. Significant water/air permeance is present, occupants are hot/cold and possessions regularly get wet during rain events.. Significant contruction required, likely temporary accomodation.</t>
  </si>
  <si>
    <t>Household: Dwelling occupants are fully unsafe. Building enclosure has little or no prevention for water or weather permeance, is severely damaged, and very unsafe or impossible to reside within.</t>
  </si>
  <si>
    <t>Coresponds somehow to ind. 3 and 9</t>
  </si>
  <si>
    <t>Area: Less than 10% of HH are settled in Severe or worse conditions
Household: HH can perform all core domestic functions without difficulty</t>
  </si>
  <si>
    <t>Area: More than 10% of HH are settled in Severe or worse conditions
Household: Some daily domestic activities are compromised but can be performed with additional non-normal effort</t>
  </si>
  <si>
    <t>Area: More than 20% of HH are settled in Severe or worse conditions
Household: Sleeping or cooking is significantly compromised</t>
  </si>
  <si>
    <t>Area: More than 20% of HH are settled in Extreme or Catastrophic conditions
Household: Sleeping and cooking are significantly compromised</t>
  </si>
  <si>
    <t>Area: More than 40% of HH are settled in Extreme or Catastrophic conditions
Household: HH can no longer perform any domestic functions</t>
  </si>
  <si>
    <t>Not existing for IRQ. 
How is it measurable? Everyone will somehow manage to sleep or cook, even in a cave. Not sure it's relevant for IRQ context</t>
  </si>
  <si>
    <t>% or HHs currently living in unsustainable shelter situations</t>
  </si>
  <si>
    <t>Area: Very few (&lt;10%) of HHs is living in unfinished buildings, collective centres, organized camps, informal settlements, open areas.</t>
  </si>
  <si>
    <t>Area: 10% to 50% of HHs live in unfinished buildings, collective centres, organized camps, informal settlements, open areas</t>
  </si>
  <si>
    <t>Area: Over 50% to 70% of HHs live in unfinished buildings, collective centres, organized camps, informal settlements, open areas</t>
  </si>
  <si>
    <t>Area: Over 70% to 90% of HHs live in unfinished buildings, collective centres, organized camps, informal settlements, open areas</t>
  </si>
  <si>
    <t>Area: Over 90% of HHs live in unfinished buildings, collective centres, organized camps, informal settlements, open areas</t>
  </si>
  <si>
    <t>Corresponds to ind. 1 and 11</t>
  </si>
  <si>
    <t>Impact</t>
  </si>
  <si>
    <t>Impact on people</t>
  </si>
  <si>
    <t>(Alternate) % of HHs whose original house was damaged resulting from the impacts of a disaster/conflict</t>
  </si>
  <si>
    <t>Household: Dwelling unit remains structurally safe following the disaster/conflict and encloses the residents and their property so that they are warm, dry, and secure. Little or no intervention required.</t>
  </si>
  <si>
    <t>Household: Dwelling enclosure may show cosmetic deficiencies following disaster/conflict but maintains healthy structural and performance standards for enclosure with possible minor repairable deficiencies.</t>
  </si>
  <si>
    <t>Household: Dwelling enclosure performance is moderately compromised due to disaster/conflict and extended living in this state can lead to health deterioration, loss or damage to possessions, or deterioration of building enclosure integrity. Repairs are required.</t>
  </si>
  <si>
    <t>Household: Dwelling enclosure performance is significantly compromised due to disaster/conflict so that occupant health is at risk. Significant water/air permeance is present. Some minor privacy may be present but enclosure probably will not secure possessions. Significant contruction required.</t>
  </si>
  <si>
    <t>Household: Total loss of building enclosure due to disaster/conflict with little or no prevention to water or weather permeance, unsafe and unhealthy living, and will require occupant to find new accomodation immediately and/or rebuild.</t>
  </si>
  <si>
    <t>Not possible to collect remotely (expert knoweldge needed) - hence not valid for IRQ context. Although it may be somehow close to ind. 4</t>
  </si>
  <si>
    <t>Settlement</t>
  </si>
  <si>
    <t>% of HHs who are displaced due to community/regional hazards</t>
  </si>
  <si>
    <t>Household: Household is not displaced due to community hazards. no community hazards and been identified andHH is not displaced.</t>
  </si>
  <si>
    <t>Household: Household is not likely to displace despite present community hazards.</t>
  </si>
  <si>
    <t>Household: Hosuehold is considering displacement due to threat of community hazard.</t>
  </si>
  <si>
    <t>Household: Household is going to imanently displaced due to present community hazards.</t>
  </si>
  <si>
    <t>Household: Household has been displaced due to community hazards (in their area of origin?)</t>
  </si>
  <si>
    <t>This corresponds to DTM &amp; CCCM figures on IDPs?</t>
  </si>
  <si>
    <t>% of HHs whose possessions are being affected by community/regional hazards</t>
  </si>
  <si>
    <t>Household possessions are secure. No community hazards and been identified andHH possessions are not at risk.</t>
  </si>
  <si>
    <t>Hosuehold: Household possessions are currently intact although community hazards are present.</t>
  </si>
  <si>
    <t>Household: Some household possessions have been damaged due to community hazards but some may be reclaimable.</t>
  </si>
  <si>
    <t>Household: Many household items have been damaged or destroyed due to community hazards.</t>
  </si>
  <si>
    <t>Household: Household has lost all of their possessions.</t>
  </si>
  <si>
    <t xml:space="preserve">What's the grographical scope? Location, subdistrict, district?
Not sure we have a corresponding indic. Though. Which hazards are we refererring to? Conflict is one of them? </t>
  </si>
  <si>
    <t>(alternate) % of HHs with safe access to market for shelter-related items within an acceptable amount of time or distance</t>
  </si>
  <si>
    <t>Overall: HHs are able to physically access needed shelter materials/NFIs in markets, materials are affordable and good quality
Subset Market Access: HH has access to market for shelter/NFI items within a 30 min walking distance (one way)</t>
  </si>
  <si>
    <t>Overall: HHs are able to physically access needed shelter materials/NFIs in markets, but materials are expensive or low quality
Subset Market Access: HH has access to market for shelter/NFI items within a one hour walking distance (one way)</t>
  </si>
  <si>
    <t>Overall: HHs are able to physically access needed shelter materials/NFIs in markets, but materials are unaffordable AND poor quality
Subset Market Access: HH has access to market for shelter/NFI items within a 1h30 min walking distance (one way)</t>
  </si>
  <si>
    <t>Overall: HHs are NOT able to physically access some needed shelter materials/NFIs in (functional) local markets. Shelter materials are unaffordable AND poor quality
Subset Market Access: Access to market for shelter/NFI items within a 2h walking distance (one way)</t>
  </si>
  <si>
    <t>Overall: Markets for shelter-related items are not present or non-functional so there is no access to needed items.
Subset Market Access: No market for shelter/NFI items accessible within a 2h walking distance (one way)</t>
  </si>
  <si>
    <t>As formulated, not valid for IRQ context (…walking distance for shetler &amp; NFI, bulky items? 2 hours one way??)
Somehow related to ind. 6 and 7
There is an indicator on market access in Iraq but not under shelter.</t>
  </si>
  <si>
    <t>% of HH with access to basic infrastructures and essential services</t>
  </si>
  <si>
    <t>Area: Less than 10% of HH are settled in Severe or worse conditions
Household: Household has predictable access to essential (public) services and utilities (water, electricity, sewage), road access is clear, and easy access to functional local markets</t>
  </si>
  <si>
    <t>Area: More than 10% of HH are settled in Severe or worse conditions
Household: Household is lightly impaired through (predictable) disruptions to essential services</t>
  </si>
  <si>
    <t>Area: More than 20% of HH are settled in Severe or worse conditions
Household: Household is moderately impaired by substantial disruptions to essential services or utilities, road access and accessibility to markets</t>
  </si>
  <si>
    <t>Area: More than 20% of HH are settled in Extreme or Catastrophic conditions
Household: Household is severely impaired by disruptions to services, utilities, road access and market functionality.</t>
  </si>
  <si>
    <t>Area: More than 40% of HH are settled in Extreme or Catastrophic conditions
Household: Household is completely impaired through isolation from all essential services, road access, and market access</t>
  </si>
  <si>
    <t>% of HHs who are currently living in unsafe/unhealthy areas affected by community hazards</t>
  </si>
  <si>
    <t>Household: Household is safe and protected from community hazards. no community hazards have been identified</t>
  </si>
  <si>
    <t>Household: Household is mostly safe and protected from community hazards. Some community hazards are present but household is isolated from them.</t>
  </si>
  <si>
    <t>Household: Household is moderately unsafe due to community level hazards. Community hazards have been identified and although the household may not have been affected yet there is a high likelihood of impact.</t>
  </si>
  <si>
    <t>Household: Household is severely unsafe due to community hazards. Hazards are present and the household has been affected.</t>
  </si>
  <si>
    <t>Household: Household is severely unsafe due to community hazards. Hazards are present and the household has been irreversibly affected.</t>
  </si>
  <si>
    <t xml:space="preserve">Somehow related to ind. 3 and 9 </t>
  </si>
  <si>
    <t>% of locations reporting [improvement] as one of the most common shelter improvements needed by the majority of IDPs/returnees living in the location</t>
  </si>
  <si>
    <t>% of HHs without clear security of tenure within their community</t>
  </si>
  <si>
    <t>Less than 10% of HH are settled in Severe or worse conditions
Household: HH has tenure security with no HLP issues (clear ownership, rental agreements, rights are enforced, etc.)</t>
  </si>
  <si>
    <t>More than 10% of HH are settled in Severe or worse conditions
Household: HH has tenure security with minor HLP issues</t>
  </si>
  <si>
    <t>More than 20% of HH are settled in Severe or worse conditions
Household: HH has tenure security with significant HLP issues</t>
  </si>
  <si>
    <t>More than 20% of HH are settled in Extreme or Catastrophic conditions
Household: HH has no tenure security with significant HLP issues</t>
  </si>
  <si>
    <t>More than 40% of HH are settled in Extreme or Catastrophic conditions
Household: HH has no tenure security and is evicted with major HLP issues</t>
  </si>
  <si>
    <t>What's the grographical scope? Location, subdistrict, district?
Corresponds to HLP indicators?</t>
  </si>
  <si>
    <t>Yes (UNICEF)</t>
  </si>
  <si>
    <t>Yes (MOH)</t>
  </si>
  <si>
    <t>Yes (UNICEF per year)</t>
  </si>
  <si>
    <t>No (what it meant by SSA)</t>
  </si>
  <si>
    <t>Yes (UNFPA)</t>
  </si>
  <si>
    <t>NO</t>
  </si>
  <si>
    <t>Yes (MCNA)</t>
  </si>
  <si>
    <t>Yes(MOH)</t>
  </si>
  <si>
    <t>PIN/Severity</t>
  </si>
  <si>
    <t>Available in Iraq</t>
  </si>
  <si>
    <t>Exist in MCNA/ILA</t>
  </si>
  <si>
    <t>The exact indicator is not available however the following ones can provide information on some harmful practices or coping mechanisms:
 % of HHs reported precense of child marriage (MCNA)
% of girls not attending schools (MCNA &amp; ILA)
% of HHs reported child labour(MCNA)
% of locations in which at least one female has attempted or committed suicide during the time of the COVID-19 outbreak (ILA)
% of HHs engaining in negative coping mechanisms (MCNA).</t>
  </si>
  <si>
    <t>Paritally available through the GBV service mapping tool</t>
  </si>
  <si>
    <t>To be considered</t>
  </si>
  <si>
    <t>Available
% of HHs reporting awareness of SGBV referal pathways/specialized services for women or girls (MCNA)</t>
  </si>
  <si>
    <t>Available
% women and girls who avoid areas because they feel unsafe there (MCNA)
% of locations reporting [Lack of safety in public/communal spaces for women and girls] as an issue/problem/threat affecting female  IDPs/returnees (ILA)</t>
  </si>
  <si>
    <t>Data available through proxy indicators:
% of HHs that have suffered incidents affecting female HH members in the last 30 days (MCNA)
% of locations reporting [Violence, harassment or abuse] as an issue/problem/threat affecting female  IDPs/returnees (ILA)
% women and girls who avoid areas because they feel unsafe there (MCNA)
% of locations reporting [Lack of safety in public/communal spaces for women and girls] as an issue/problem/threat affecting female  IDPs/returnees (ILA)</t>
  </si>
  <si>
    <t>Data available through proxy indicators:
% of locations reporting [Violence, harassment or abuse] as an issue/problem/threat affecting female  IDPs/returnees (ILA)
% of female-headed households
% of women and girls living under critical shelter conditions (MCNA)
% Women of reproductive age (12-49) with no access to specialized reproductive health services (MCNA)</t>
  </si>
  <si>
    <t xml:space="preserve">Available from MCNA/ILA? </t>
  </si>
  <si>
    <t xml:space="preserve">Alternate Source </t>
  </si>
  <si>
    <t>Core Indicators</t>
  </si>
  <si>
    <t>Food Security</t>
  </si>
  <si>
    <t>Food Access</t>
  </si>
  <si>
    <t>Humanitarian Conditions</t>
  </si>
  <si>
    <t>Coping Mechanisms</t>
  </si>
  <si>
    <t>Livelihood coping strategy (basic needs)</t>
  </si>
  <si>
    <t>HH survey</t>
  </si>
  <si>
    <t>Essential Needs Assessment</t>
  </si>
  <si>
    <t>No stress, crisis or emergency coping observed</t>
  </si>
  <si>
    <t>Stress strategies are the most severe strategies used by the household in the past 30 days</t>
  </si>
  <si>
    <t>Crisis strategies are the most severe strategies used by the household in the past 30 days</t>
  </si>
  <si>
    <t>Emergency strategies are the most severe strategies used by the household in the past 30 days</t>
  </si>
  <si>
    <t>Near exhaustion of coping capacity</t>
  </si>
  <si>
    <t>Y</t>
  </si>
  <si>
    <t>Livelihood coping strategy (food) - 30 day recall</t>
  </si>
  <si>
    <t>Food security assessment</t>
  </si>
  <si>
    <t>Stress strategies</t>
  </si>
  <si>
    <t>Crisis strategies</t>
  </si>
  <si>
    <t>Emergency strategies</t>
  </si>
  <si>
    <t xml:space="preserve">1.1 Sold household assets/goods (radio, furniture, refrigerator, television, jewelry etc..)
1.2 Reduced non-food expenses on health (including drugs) and education
1.3 Sold productive assets or means of transport (sewing machine, wheelbarrow, bicycle, car, etc..)
1.4 Spent savings 
1.5 Borrowed money / food from a formal lender / bank
1.6 Sold house or land
1.7 Withdrew children from school
1.8 Sold last female animals
1.9 Begging
1.10 Sold more animals (non-productive) than usual
</t>
  </si>
  <si>
    <t>N</t>
  </si>
  <si>
    <t>WFP mVAM</t>
  </si>
  <si>
    <t>Food Expenditure share</t>
  </si>
  <si>
    <t>&lt;50%</t>
  </si>
  <si>
    <t>50-65%</t>
  </si>
  <si>
    <t>65-75%</t>
  </si>
  <si>
    <t>75% - 85%</t>
  </si>
  <si>
    <t>&gt; 85%</t>
  </si>
  <si>
    <t>Household Economy Approach (HEA)</t>
  </si>
  <si>
    <t>HEA survey</t>
  </si>
  <si>
    <t>No livelihood protection deficit</t>
  </si>
  <si>
    <t>Small or moderate livelihood protection deficit &lt;80%</t>
  </si>
  <si>
    <t>Livelihood protection deficit ≥80%, survival deficit &lt;20%</t>
  </si>
  <si>
    <t>Survival deficit ≥20% but &lt;50%</t>
  </si>
  <si>
    <t>Survival deficit ≥50%</t>
  </si>
  <si>
    <t>Physical and Mental Wellbeing</t>
  </si>
  <si>
    <t>Household Hunger Scale (HHS)</t>
  </si>
  <si>
    <t>0 (none)</t>
  </si>
  <si>
    <t>1 (slight)</t>
  </si>
  <si>
    <t>2 or 3 (moderate)</t>
  </si>
  <si>
    <t>4 (severe)</t>
  </si>
  <si>
    <t>5 or 6 (severe)</t>
  </si>
  <si>
    <t>Q1 In the past [4 weeks/30 days], was there ever no food to eat of any kind in your house because of lack of resources to get food?
Q1a How often did this happen in the past [4 weeks/30 days]?
Q2 In the past [4 weeks/30 days], did you or any household member go to sleep at night hungry because there was not enough food?
Q2a How often did this happen in the past [4 weeks/30 days]?
Q3 In the past [4 weeks/30 days], did you or any household member go a whole day and night without eating anything at all because there was not enough food?
Q3a How often did this happen in the past [4 weeks/30 days]?</t>
  </si>
  <si>
    <t>Reduced Coping Strategies Index</t>
  </si>
  <si>
    <t>0 to 3</t>
  </si>
  <si>
    <t>4 to 18</t>
  </si>
  <si>
    <t>≥ 19</t>
  </si>
  <si>
    <t>1. Relied on less preferred, less expensive food 
2. Borrowed food or relied on help from friends or relatives 
3. Reduced the number of meals eaten per day 
4. Reduced portion size of meals at meals time 
5. Restrict consumption by adults in order for young-children to eat</t>
  </si>
  <si>
    <t>WFP mvAM</t>
  </si>
  <si>
    <t>Food Availability/Access</t>
  </si>
  <si>
    <t>Food Production losses</t>
  </si>
  <si>
    <t>HH survey, official estimates, remote sensing</t>
  </si>
  <si>
    <t>Food security assessment, Agriculture survey (e.g. CFSAM), Ministry of Agriculture, Satellite imagery</t>
  </si>
  <si>
    <t>In the average</t>
  </si>
  <si>
    <t>Small production losses compared to average &lt;75%</t>
  </si>
  <si>
    <t>Significant production losses compared to average 50-75%</t>
  </si>
  <si>
    <t>High production losses compared to average 25-50%</t>
  </si>
  <si>
    <t>No production or near total crop loss &lt;25%</t>
  </si>
  <si>
    <t>Considering main staple food in the area, compared to a normal year, using five years average or longer if food production has been affected by exceptional factors over several of the past 5 years. Note that these thresholds are not based on international standards, they need to be adjusted to the context.</t>
  </si>
  <si>
    <t>FAO GIEWS? Need to confirm</t>
  </si>
  <si>
    <t>Productive assets losses</t>
  </si>
  <si>
    <t>Food security, Agriculture, Livelihood assessment</t>
  </si>
  <si>
    <t>No livelihood asset loss</t>
  </si>
  <si>
    <t>Moderate loss of livelihood assets</t>
  </si>
  <si>
    <t>Significant loss of livelihood assets</t>
  </si>
  <si>
    <t>Severe loss of livelihood assets</t>
  </si>
  <si>
    <t>Total loss of all productive assets</t>
  </si>
  <si>
    <t>Productive assets depending of agricultural subsectors: farming (land or access to land, seeds, perennial crops, key tools), livestock, fishing (access to sea, fishing gear and vessels)</t>
  </si>
  <si>
    <t>Food Availability/Access/Utilization</t>
  </si>
  <si>
    <t>Food Consumption Score</t>
  </si>
  <si>
    <t>Acceptable and stable</t>
  </si>
  <si>
    <t>Acceptable but deterioration from typical</t>
  </si>
  <si>
    <t>Borderline</t>
  </si>
  <si>
    <t>Poor</t>
  </si>
  <si>
    <t xml:space="preserve">Food items/groups:
Cereals or tubers
Pulses and groundnuts
Milk and milk products
Eggs, meat, fish, shells
Vegetables
Fruits
Sugar
Oil
Condiments
</t>
  </si>
  <si>
    <t>IPC/CH - for all IPC/CH countries with updated analysis - if up-to-date IPC analysis results are not available, other FS indicators can be used for FS sector</t>
  </si>
  <si>
    <t>IPC analysis</t>
  </si>
  <si>
    <t>Food Utilization</t>
  </si>
  <si>
    <t>Household Dietary Diversity Score</t>
  </si>
  <si>
    <t>5-12 food groups and stable</t>
  </si>
  <si>
    <t>5-FG but deterioration ≥1 FG from typical</t>
  </si>
  <si>
    <t>3-4 FG</t>
  </si>
  <si>
    <t>0-2 FG</t>
  </si>
  <si>
    <t>% of girls / boys not regularly attending school</t>
  </si>
  <si>
    <t>HH survey / KI</t>
  </si>
  <si>
    <t>MSNA / EMIS or school database / EiE assessment</t>
  </si>
  <si>
    <t>% of girls / boys without access to core CP services</t>
  </si>
  <si>
    <t>KI</t>
  </si>
  <si>
    <t>Protection Monitoring / Service mapping</t>
  </si>
  <si>
    <t>0-5%</t>
  </si>
  <si>
    <t>6-10%</t>
  </si>
  <si>
    <t>10-13%</t>
  </si>
  <si>
    <t>13% +</t>
  </si>
  <si>
    <t>% of HHs with knowledge on available core CP services</t>
  </si>
  <si>
    <t>HH Survey</t>
  </si>
  <si>
    <t>MSNA / Protection Monitoring</t>
  </si>
  <si>
    <t>% of girls / boys engaged in hazardours child labour</t>
  </si>
  <si>
    <t>HH Survey / KI</t>
  </si>
  <si>
    <t>MSNA / MoSA / MoL / UNICEF</t>
  </si>
  <si>
    <t>% of girls / boys that have been separated from their parents or other typical adult caregivers</t>
  </si>
  <si>
    <t>MSNA / Protection Monitoring / DTM</t>
  </si>
  <si>
    <t>0-0.5%</t>
  </si>
  <si>
    <t>0.5-1%</t>
  </si>
  <si>
    <t>1-2%</t>
  </si>
  <si>
    <t>3%+</t>
  </si>
  <si>
    <t>Prevalence of child marriage</t>
  </si>
  <si>
    <t>MSNA / MoSA / UNICEF</t>
  </si>
  <si>
    <t>0-9% of girls and boys married under the age of 18</t>
  </si>
  <si>
    <t>10-19% of girls and boys married under the age of 18</t>
  </si>
  <si>
    <t>20-25% of girls and boys married under the age of 18</t>
  </si>
  <si>
    <t>25-30% of girls and boys married under the age of 18</t>
  </si>
  <si>
    <t>30 + % of girls and boys married under the age of 18</t>
  </si>
  <si>
    <t>CP / GBV</t>
  </si>
  <si>
    <t>% of girls / boys engaging in harmful activities</t>
  </si>
  <si>
    <t>GBV</t>
  </si>
  <si>
    <t>% of girls / women without access to GBV-related services.</t>
  </si>
  <si>
    <t>Up to 4 services available</t>
  </si>
  <si>
    <t>Up to 3 services available</t>
  </si>
  <si>
    <t>Up to 2 services available</t>
  </si>
  <si>
    <t>Only 1 service available</t>
  </si>
  <si>
    <t>No GBV service available</t>
  </si>
  <si>
    <t>% of HHs with knowledge on available core services for GBV survivors</t>
  </si>
  <si>
    <t>&lt; 20%</t>
  </si>
  <si>
    <t>20% - 30%</t>
  </si>
  <si>
    <t>30% - 40%</t>
  </si>
  <si>
    <t>40% - 50%</t>
  </si>
  <si>
    <t>&gt; 50%</t>
  </si>
  <si>
    <t>% of girls / women who avoid areas because they feel unsafe</t>
  </si>
  <si>
    <t>GBV / CP</t>
  </si>
  <si>
    <t>% of HH reporting fear of GBV (sexual violence and forced marriage / reproduction) for girls / boys / women in the HH</t>
  </si>
  <si>
    <t>% of girls / boys / women at risk of GBV (sexual violence and forced marriage / reproduction)</t>
  </si>
  <si>
    <t>XX</t>
  </si>
  <si>
    <t>% of HHs with housing / shelter damaged or destroyed due to violence, conflict or natural hazards</t>
  </si>
  <si>
    <t>UNOSAT / SDR</t>
  </si>
  <si>
    <t>&lt; 30%</t>
  </si>
  <si>
    <t>40% - 55%</t>
  </si>
  <si>
    <t>55% - 70%</t>
  </si>
  <si>
    <t>&gt; 70%</t>
  </si>
  <si>
    <t>% of HH reporting incidents of threaths of eviction</t>
  </si>
  <si>
    <t>None</t>
  </si>
  <si>
    <t>Threatened with eviction only once in the past six months, and were able to resolve (and stay) without resorting to negative coping mechanisms</t>
  </si>
  <si>
    <t>Threatened with eviction at least once and had to resort to negative coping mechanisms to avoid eviction
OR 
Threatened eviction more than once in the past six months but was not evicted</t>
  </si>
  <si>
    <t>Forcibly evicted /departed under duress at least once in the past 6 months, but were able to find housing immediately following eviction</t>
  </si>
  <si>
    <t>Forcibly evicted /departed under duress at least once in the past 6 months, and did not have their own housing for more than one week following eviction</t>
  </si>
  <si>
    <t>% of household reporting HLP disputes</t>
  </si>
  <si>
    <t>No disputes reported
Or dispute reported, but they are confident that they will be able to resolve directly with other party without intervention</t>
  </si>
  <si>
    <t>Dispute reported, but generally confident that they will be able to come to fair resolution with the support of a local governance institution</t>
  </si>
  <si>
    <t>Dispute reported - lack confidence that they will be able to get fair resolution with support of a local governance institutions (either because of access or lack of trust)</t>
  </si>
  <si>
    <t>Dispute reported with threats of violence - no confidence they will be able to resolve</t>
  </si>
  <si>
    <t>Dispute reported - violence, displacement, etc, has taken place</t>
  </si>
  <si>
    <t>% of households accessing their housing/shelter with security of tenure</t>
  </si>
  <si>
    <t>Owner of their house, with offical documentation in their name, and No risk of eviction</t>
  </si>
  <si>
    <t>Owner of the house with no official documentation in their name but feels like their tenure is secure
OR
Renter of house with written contract, can renew contract if desired AND No risk of eviction
OR
Shelter granted by organisations/authorities with permission AND able to stay as long as needed/no risk of eviction
OR
Granted by relatives/family with permission AND able to stay as long as needed/no risk of eviction</t>
  </si>
  <si>
    <t xml:space="preserve">Owner of the house with or without document but feel like their tenure is not assured (risk to tenure is non-specific, just general lack of confidence)
OR
Renter without contract, but no apparent risk of eviction
OR
Granted by organisations/authorities with permission but stay is limited to a six month to a year term but no risk of eviction at the moment
OR
Granted by relatives/family with permission AND but stay is limited to a defined six month to a year term, but no risk of eviction at the moment
OR
Squatting without permission but no apparent risk of eviction at the moment
</t>
  </si>
  <si>
    <t>Owner of the house with or without document but feel like their tenure is not assured (specific threat to tenure)
OR
Renter with or without rental contract, but will need to leave within 6 months even if they would prefer to stay
OR
Housing/Shelter granted by organisations/authorities with permission, but will need to leave within 6 months even if they would like to stay
OR
Housing/Shelter granted by relatives/family with permission, but will need to leave within 6 months even if they would like to stay
OR
Squatting without permission, but will need to leave within 6 months even if they would like to stay</t>
  </si>
  <si>
    <t>Owner of the house with or without document but feel explusion is imminent (under 3 months)
OR
Renter with or without rental contract, but eviction/departure under duress is imminent (under 3 months)
OR
Housing/Shelter granted by organisations/authorities with permission, but eviction/departure under duress is imminent (under 3 months)
OR
Housing/Shelter granted by relatives/family with permission, but eviction/departure under duress is imminent (under 3 months)
OR
Squatting without permission, but eviction/departure under duress is imminent (under 3 months)</t>
  </si>
  <si>
    <t>MHPSS / CP / GBV</t>
  </si>
  <si>
    <t>% of HH where at least one member (SADD) is reporting signs of distress (self-diagnosed)</t>
  </si>
  <si>
    <t>% of HHs engaging in harmful coping mechanisms in the last 30 days</t>
  </si>
  <si>
    <t>No harmful coping strategy</t>
  </si>
  <si>
    <t>selected: Selling household
property; Buying food on credit;
Borrowing money through
friends and relatives; Reducing
expenditures on NFI</t>
  </si>
  <si>
    <t>HH Selected: Selling means of
transport; Changing place of
residence; Children under 18
working to provide resources</t>
  </si>
  <si>
    <t>HH Selected: Children dropping
out from school; Accepting that
adults engage in risky behavior;
Migration of all family; Children
or adult forcefully married</t>
  </si>
  <si>
    <t>% of HH members without valid civil documentation and unable to obtain them</t>
  </si>
  <si>
    <t>All household members have valid documentation, including birth certificate, ID card and passport</t>
  </si>
  <si>
    <t>All household members have valid documentation, including birth certificate and ID card</t>
  </si>
  <si>
    <t>At least one member of the HH don’t have valid ID card or passport but can obtain new ones</t>
  </si>
  <si>
    <t>At least one member of the HH don’t have valid ID card or passport and can’t obtain new ones</t>
  </si>
  <si>
    <t>At least one member of the HH don’t have birth certificate</t>
  </si>
  <si>
    <t>% of HHs reporting protection issues when accessing humanitarian assistance in the last 3 months</t>
  </si>
  <si>
    <t>% of HHs that have experienced movement restrictions in the last 3 months</t>
  </si>
  <si>
    <t>HHs: Total freedom of movement inside or to another country
Area: 0%</t>
  </si>
  <si>
    <t>HHs: Total freedom of movement inside the country
Area: 1-10%</t>
  </si>
  <si>
    <t>HHs: Total freedom of movement inside the same province / district
Area: 20-40%</t>
  </si>
  <si>
    <t>HHs: No possibility for household members to move outside their site / community
Area: 40-60%</t>
  </si>
  <si>
    <t>HHs: No possibility for household members to move within their site / community
Area: 60%</t>
  </si>
  <si>
    <t>% of HHs without access to official law enforcement authorities and/or judiciary system</t>
  </si>
  <si>
    <t>MSNA / Protection Monitoring / Service mapping</t>
  </si>
  <si>
    <t>% of population in specific groups excluded or with limited access to services (i.e. UASC, persons with disabilities, older persons, minority groups, etc.)</t>
  </si>
  <si>
    <t>Protection Monitoring</t>
  </si>
  <si>
    <t>30% - 45%</t>
  </si>
  <si>
    <t>45% - 60%</t>
  </si>
  <si>
    <t>60% - 75%</t>
  </si>
  <si>
    <t>&gt; 75%</t>
  </si>
  <si>
    <t>Civilian population killed or injured by violence, conflict or natural hazards</t>
  </si>
  <si>
    <t>UNDSS / ACLED / Media Monitoring</t>
  </si>
  <si>
    <t>% of population in sites/communities reporting protection incidents in the last 3 months</t>
  </si>
  <si>
    <t>% of HHs who have suffered incidents affecting HH members in the last 3 months</t>
  </si>
  <si>
    <t>Protection Monitoring/MSNA</t>
  </si>
  <si>
    <t>HH: No security incidents in the last XX days/months
Area: 0%</t>
  </si>
  <si>
    <t>HHs: Verbally threatened or intimidated
Area: 1-10% HHs have suffered incidents</t>
  </si>
  <si>
    <t>HHs: At least one serious incident in the last XX days/months
Area: 20-40% HHs have suffered incidents</t>
  </si>
  <si>
    <t>HHs: At least one severe incident in the last XX months OR At least 2 serious incidents OR
Area: 40-60% HHs have suffered incidents</t>
  </si>
  <si>
    <t>HHs: At least one critical incident in the last XX days/months OR At least 2 Severe incidents
Area: &gt;60% HHs have suffered incidents</t>
  </si>
  <si>
    <t>More appropiate in the context of protection monitoring systems linked to referrals and where questions can be asked to different HH members.</t>
  </si>
  <si>
    <t>% of HHs reporting concerns from any harm, physical threaths or discrimination in the area where they are livingin the last 3 months</t>
  </si>
  <si>
    <t>HHs: Sometimes worried about theft or harassment or small/medium injuries OR
Sometimes worried about death, EOs OR abduction
Area: 0%</t>
  </si>
  <si>
    <t>HHs: Always worried about small/medium injuries OR theft / harassment
Area: 1-10%</t>
  </si>
  <si>
    <t>HHs: Sometimes worried about sexual violence OR grave injuries
Area: 20-40% HHs reporting security concerns</t>
  </si>
  <si>
    <t>HHs: Always worried about sexual violence OR grave injuries OR Sometimes worried about death, EOs OR abduction
Area: 40-60% HHs reporting security concerns</t>
  </si>
  <si>
    <t>Always worried about death OR abduction OR EOs
Area: 60% HHs reporting security concerns</t>
  </si>
  <si>
    <t>Proxy indicator to include in case HHs directly affected by protection incidents is not available.</t>
  </si>
  <si>
    <t xml:space="preserve">Notes from indicator owner IRAQ </t>
  </si>
  <si>
    <t xml:space="preserve">PIN/Severity </t>
  </si>
  <si>
    <t xml:space="preserve">% HHs experiencing daytime movement restrictions
But the answers/options are different and might not be possible to compare since we have a binary question of YES or NO
</t>
  </si>
  <si>
    <t xml:space="preserve">YES </t>
  </si>
  <si>
    <t>% HH missing at least one key household or individual document (REACH/ILA)</t>
  </si>
  <si>
    <t>REACH/ILA = % HH relying on stress / crisis / emergency strategies to cope with a lack of resources to meet basic needs</t>
  </si>
  <si>
    <t>% HH adults with psychosocial distress (proxy data with behavior change)</t>
  </si>
  <si>
    <t xml:space="preserve">Subpillar </t>
  </si>
  <si>
    <t>Percentage of children aged six months to 15 years who have received measles vaccination</t>
  </si>
  <si>
    <t>Number of inpatient beds per 10,000</t>
  </si>
  <si>
    <t>Percentage of population that can access primary healthcare within one hour’s walk from dwellings</t>
  </si>
  <si>
    <t>MOH</t>
  </si>
  <si>
    <t>MCNA VIII</t>
  </si>
  <si>
    <t>&gt;95% in camps /urban areas
&gt;90% in scattered or rural areas</t>
  </si>
  <si>
    <t>90% &gt;= 95% urban and camps
85% &gt;= 90% in scattered or rural areas</t>
  </si>
  <si>
    <t>85% &gt;= 89% urban and camps
80% &gt;= 84% in scattered or rural areas</t>
  </si>
  <si>
    <t>&lt; 85% urban and camps
&lt; 80% in scattered or rural areas</t>
  </si>
  <si>
    <t>&gt;= 18</t>
  </si>
  <si>
    <t>12 &lt; =17</t>
  </si>
  <si>
    <t>6 &lt; = 11</t>
  </si>
  <si>
    <t>&lt;= 5</t>
  </si>
  <si>
    <t>&gt;= 80%</t>
  </si>
  <si>
    <t>70% &lt; 79%</t>
  </si>
  <si>
    <t>60% &lt; 69%</t>
  </si>
  <si>
    <t>&lt; 60%</t>
  </si>
  <si>
    <t xml:space="preserve">Emergeny Livelihoods </t>
  </si>
  <si>
    <t xml:space="preserve">Protection - GP </t>
  </si>
  <si>
    <t>% of population in sites with access to functioning complaints and feedback mechanisms</t>
  </si>
  <si>
    <t>% of population in sites with appropriate site management services</t>
  </si>
  <si>
    <t>% of population in sites with inclusive and representative governance structures</t>
  </si>
  <si>
    <t>% of population with access to basic services within walking distance</t>
  </si>
  <si>
    <t>% of population in sites</t>
  </si>
  <si>
    <t>Impact on Services</t>
  </si>
  <si>
    <t>% of population in sites that are physically and socially appropriate site environments</t>
  </si>
  <si>
    <t xml:space="preserve">CCCM </t>
  </si>
  <si>
    <t>All domains are no difficulties</t>
  </si>
  <si>
    <t>No domain is a lot of difficulties or cannot do at all, 1, 2, or 3 domains are some difficulties</t>
  </si>
  <si>
    <t>No domain is cannot do at all, 1, 2, or 3 domains are a lot of difficulties OR no domain is a lot of difficulties or cannot do at all; at least 4 domains are some difficulties</t>
  </si>
  <si>
    <t>At least 4 domains are cannot do all</t>
  </si>
  <si>
    <t xml:space="preserve">MCNA VIII </t>
  </si>
  <si>
    <t xml:space="preserve">MCNA VIII, FSMT </t>
  </si>
  <si>
    <t>All four of the following criteria met:
 HH is aware of the existence of CFM;
 the CFM is easy to use;
 the CFM is appropriate for the population (no language, gender or imparement limitations);
 it's trusted for confidentiality, response, timeliness and sensitive issues</t>
  </si>
  <si>
    <t>Three of the following criteria met:
 HH is aware of the existence of CFM;
 the CFM is easy to use;
 the CFM is appropriate for the population (no language, gender or imparement limitations);
 it's trusted for confidentiality, response, timeliness and sensitive issues</t>
  </si>
  <si>
    <t>Two of the following criteria met:
 HH is aware of the existence of CFM;
 the CFM is easy to use;
 the CFM is appropriate for the population (no language, gender or imparement limitations);
 it's trusted for confidentiality, response, timeliness and sensitive issues</t>
  </si>
  <si>
    <t>One of the following criteria met:
 HH is aware of the existence of CFM;
 the CFM is easy to use;
 the CFM is appropriate for the population (no language, gender or imparement limitations);
 it's trusted for confidentiality, response, timeliness and sensitive issues</t>
  </si>
  <si>
    <t>None of the following criteria met:
 HH is aware of the existence of CFM;
 the CFM is easy to use;
 the CFM is appropriate for the population (no language, gender or imparement limitations);
 it's trusted for confidentiality, response, timeliness and sensitive issues</t>
  </si>
  <si>
    <t>Size or type of site that does not require site management activities</t>
  </si>
  <si>
    <t>Size or type of site that requires infrequent or low level of site management activities</t>
  </si>
  <si>
    <t>Size or type of site that requires a moderate range of site managemnt services</t>
  </si>
  <si>
    <t>Size or type of site that requires a wide range of site management service</t>
  </si>
  <si>
    <t>Size or type of site that requires a comprehensive range of site management services</t>
  </si>
  <si>
    <t>All of the following criteria met: governance structures are representative of the site population; decision-making procesesses include view of women, children, vulnerable groups and host community; governance structures are accountable; governance representatives have sufficent capacity and resources</t>
  </si>
  <si>
    <t>Three of the following criteria met:
 governance structures are representative of the site population; decision-making procesesses include view of women, children, vulnerable groups and host community; governance structures are accountable; governance representatives have sufficent capacity and resources</t>
  </si>
  <si>
    <t>Two of the following criteria met: 
 governance structures are representative of the site population; decision-making procesesses include view of women, children, vulnerable groups and host community; governance structures are accountable; governance representatives have sufficent capacity and resources</t>
  </si>
  <si>
    <t>One of the following criteria met: 
 governance structures are representative of the site population; decision-making procesesses include view of women, children, vulnerable groups and host community; governance structures are accountable; governance representatives have sufficent capacity and resources</t>
  </si>
  <si>
    <t>None of the following criteria met: 
 governance structures are representative of the site population; decision-making procesesses include view of women, children, vulnerable groups and host community; governance structures are accountable; governance representatives have sufficent capacity and resources</t>
  </si>
  <si>
    <t>All basic services are available within a 30 min walking distance (one way)</t>
  </si>
  <si>
    <t>All basic services are available within a one hour walking distance (one way)</t>
  </si>
  <si>
    <t>All basic services are available within a 1h30 walking distance (one way)</t>
  </si>
  <si>
    <t>All basic services are available within a 2 hours walking distance (one way)</t>
  </si>
  <si>
    <t>No basic services are available within a 2 hours walking distance (one way)</t>
  </si>
  <si>
    <t>All four of the following criteria met:
 The site is not located in an area of high risk of natural hazards (flooding, landslide etc)
 The site has a functional and appropriate administrative space;
 The site has functional and appropriate social and communal spaces;
 Site facilities are maintained</t>
  </si>
  <si>
    <t>Three of the following criteria met:
 The site is not located in an area of high risk of natural hazards (flooding, landslide etc)
 The site has a functional and appropriate administrative space;
 The site has functional and appropriate social and communal spaces;
 Site facilities are maintained</t>
  </si>
  <si>
    <t>Two of the following criteria met:
 The site is not located in an area of high risk of natural hazards (flooding, landslide etc)
 The site has a functional and appropriate administrative space;
 The site has functional and appropriate social and communal spaces;
 Site facilities are maintained</t>
  </si>
  <si>
    <t>One of the following criteria met:
 The site is not located in an area of high risk of natural hazards (flooding, landslide etc)
 The site has a functional and appropriate administrative space;
 The site has functional and appropriate social and communal spaces;
 Site facilities are maintained</t>
  </si>
  <si>
    <t>None of the following criteria met:
 The site is not located in an area of high risk of natural hazards (flooding, landslide etc)
 The site has a functional and appropriate administrative space;
 The site has functional and appropriate social and communal spaces;
 Site facilities are maintained</t>
  </si>
  <si>
    <t xml:space="preserve">Cluster monthly reporting, cross-checked with Camp parnters, Camp Prpfiling, ILA </t>
  </si>
  <si>
    <t xml:space="preserve">FSMT/Camp Profiling; no data for informal sites </t>
  </si>
  <si>
    <t>FSMT/Camp Profiling; ILA</t>
  </si>
  <si>
    <t xml:space="preserve">Cluster monthly reporting: camp population data + SADD from either FSMT or using MCNA/camp profiling; ILA </t>
  </si>
  <si>
    <t xml:space="preserve">Multi-source, requires interpretation </t>
  </si>
  <si>
    <t xml:space="preserve">REFERENCE MATERIAL </t>
  </si>
  <si>
    <t xml:space="preserve">REFERNCE MATERIAL </t>
  </si>
  <si>
    <t xml:space="preserve">Humanitarian Condition </t>
  </si>
  <si>
    <t>Water comes from an improved water source which is located on premises</t>
  </si>
  <si>
    <t>Water comes from an improved water source, provided collection time is not more than 30 minutes for a roundtrip, including queuing</t>
  </si>
  <si>
    <t>Water comes from an improved source for which collection time exceeds 30 minutes for a roundtrip, including queuing</t>
  </si>
  <si>
    <t>JIAF Indicator Reference Table (as of 13 August)</t>
  </si>
  <si>
    <t>https://docs.google.com/spreadsheets/d/14onqkx_zEAFMADo2u0SdjBLYWfE31y6HTFrovpdc_F0/edit#gid=0</t>
  </si>
  <si>
    <t xml:space="preserve">Humanitarian Conditions </t>
  </si>
  <si>
    <t xml:space="preserve">SEVERITY SCALE </t>
  </si>
  <si>
    <t>% children not attending school by sex and school-level (as a result of the crisis)</t>
  </si>
  <si>
    <t>HH: All school-aged children in the HH attend school
 Area: 100% of school-aged children attended school in the current/most recent school year</t>
  </si>
  <si>
    <t>HH: NA
 Area: &gt;75% of school-aged children attended school in the current/most recent school year</t>
  </si>
  <si>
    <t>HH: Some school-aged children in the HH attend school
 Area: &gt;50% of school-aged children attended school in the current/most recent school year</t>
  </si>
  <si>
    <t>HH: NA
Area: &gt;25% of school-aged children attended school in the current/most recent school year</t>
  </si>
  <si>
    <t>HH: No school-aged children in the HH attend school
 Area: 0-25% of school-aged children attended school in the current/most recent school year</t>
  </si>
  <si>
    <t># of HHs in formal settlements (Monthly  collection from CCCM Partners)</t>
  </si>
  <si>
    <t>Camp Population  Flow</t>
  </si>
  <si>
    <t>% of identified critical service gaps in formal settlements (Bi-annual collection with CCCM/REACH)</t>
  </si>
  <si>
    <t>FSMT, CCCM Camp Profile 2019</t>
  </si>
  <si>
    <t># of households in informal settlements (Annual ILA)</t>
  </si>
  <si>
    <t>DTM Round 110</t>
  </si>
  <si>
    <t>% households in informal sites having identified critical service gaps (Annual ILA/MCNA and RASP)</t>
  </si>
  <si>
    <t>ILA IV, MCNA VII, RASP</t>
  </si>
  <si>
    <t># of HHs departing formal settlements (Monthly collection from CCCM Partners)</t>
  </si>
  <si>
    <t>CCCM Population Flow, Exit Surveys</t>
  </si>
  <si>
    <t># of people who returned to AoO during the past 12 months</t>
  </si>
  <si>
    <t>Access to Education</t>
  </si>
  <si>
    <t xml:space="preserve">Partner Reports </t>
  </si>
  <si>
    <t xml:space="preserve">Emergency Livelihoods </t>
  </si>
  <si>
    <t xml:space="preserve">Food Security </t>
  </si>
  <si>
    <t>% HHs at least one CP issue (Composite indicator) [issues : HH reporting children with psychosocial distress (proxy data with behaviour change), children 6-17 not attending formal education, children missing documentation of any kind , Child Marriage, Child Labor]</t>
  </si>
  <si>
    <t xml:space="preserve">Protection - GBV </t>
  </si>
  <si>
    <t>% Women &amp; adolescents in HH relying on stress, crisis and emergency strategies to cope with a lack of resources to meet basic needs.</t>
  </si>
  <si>
    <t>% Females in Critical Shelter</t>
  </si>
  <si>
    <t>% Females in female Headed Household</t>
  </si>
  <si>
    <t>% Females with no access to a functional health facility (PHCC)  within 5km</t>
  </si>
  <si>
    <t>% HH Missing Core Documentation</t>
  </si>
  <si>
    <t>% of land contaminated by explosive hazards</t>
  </si>
  <si>
    <t>IMSMA</t>
  </si>
  <si>
    <t>% of HH without access to improved functional sanitation facilities [aggregate indicator]</t>
  </si>
  <si>
    <t xml:space="preserve">TO UPDATE BASED ON MCNA VIII and ILA IV </t>
  </si>
  <si>
    <t xml:space="preserve">WORKING DRAFT 28 June 2020  </t>
  </si>
  <si>
    <r>
      <t xml:space="preserve">HNO 2020 Iraq Inte-sectoral Methodology to estimate PIN and Severity by Humanitarian Consequence 
</t>
    </r>
    <r>
      <rPr>
        <b/>
        <sz val="14"/>
        <color theme="4"/>
        <rFont val="Arial"/>
        <family val="2"/>
      </rPr>
      <t xml:space="preserve">DRAFT endorsed by ICCG on 5 September 2019 
</t>
    </r>
    <r>
      <rPr>
        <b/>
        <sz val="14"/>
        <color rgb="FFFF0000"/>
        <rFont val="Arial"/>
        <family val="2"/>
      </rPr>
      <t>MINOR REVISIONS as of 15 September 2019 + Protection Indicators re-orgnized as of 7 October 2019 (ICCG and HCT consulted/informed)</t>
    </r>
  </si>
  <si>
    <t xml:space="preserve">2020 Iraq HNO List of cluster severity indicators and data sources </t>
  </si>
  <si>
    <t xml:space="preserve">2021 IRAQ HNO ANALYSIS FRAMEWORK </t>
  </si>
  <si>
    <t>NAVIGATION</t>
  </si>
  <si>
    <t>MOH, MCNA VIII</t>
  </si>
  <si>
    <t xml:space="preserve">Available in MCNA VIII as % HH lacking valid HLP documentation. Threshoolds would need to be adjusted.  </t>
  </si>
  <si>
    <t>Area level indicator , not in MCNA VIII</t>
  </si>
  <si>
    <t xml:space="preserve">No JIAF indicators exist </t>
  </si>
  <si>
    <t xml:space="preserve">This indicator is not available. This need to be checked with Livelihood Cluster if they have included. I remember last year there was an indicator similar to this. </t>
  </si>
  <si>
    <r>
      <t>% HHs reporting risk of eviction (</t>
    </r>
    <r>
      <rPr>
        <b/>
        <sz val="9"/>
        <color rgb="FF000000"/>
        <rFont val="Arial"/>
        <family val="2"/>
      </rPr>
      <t>REACH-Sectoral Indicators</t>
    </r>
    <r>
      <rPr>
        <sz val="9"/>
        <color rgb="FF000000"/>
        <rFont val="Arial"/>
        <family val="2"/>
      </rPr>
      <t>) 
Are there families who were evicted in the last 3 months or currently fearing eviction? If yes, what are the reasons for individuals having been evicted or fearing being evicted? (</t>
    </r>
    <r>
      <rPr>
        <b/>
        <sz val="9"/>
        <color rgb="FF000000"/>
        <rFont val="Arial"/>
        <family val="2"/>
      </rPr>
      <t xml:space="preserve">ILA)                                                                                                                           </t>
    </r>
    <r>
      <rPr>
        <sz val="9"/>
        <color rgb="FF000000"/>
        <rFont val="Arial"/>
        <family val="2"/>
      </rPr>
      <t xml:space="preserve">The three indicators are almost similar/almost same. Q/A can be different, but results will be same.    </t>
    </r>
    <r>
      <rPr>
        <b/>
        <sz val="9"/>
        <color rgb="FF000000"/>
        <rFont val="Arial"/>
        <family val="2"/>
      </rPr>
      <t xml:space="preserve"> </t>
    </r>
  </si>
  <si>
    <r>
      <t>The exact indicator is not available however the following ones can provide information on HLP disputes.                                                                                    % of HHs lacking valid HLP documentation. (Question-Is the property you are currently living in, or own elsewhere, u</t>
    </r>
    <r>
      <rPr>
        <b/>
        <sz val="9"/>
        <color rgb="FF000000"/>
        <rFont val="Arial"/>
        <family val="2"/>
      </rPr>
      <t>nder any kind of dispute</t>
    </r>
    <r>
      <rPr>
        <sz val="9"/>
        <color rgb="FF000000"/>
        <rFont val="Arial"/>
        <family val="2"/>
      </rPr>
      <t>?) (</t>
    </r>
    <r>
      <rPr>
        <b/>
        <sz val="9"/>
        <color rgb="FF000000"/>
        <rFont val="Arial"/>
        <family val="2"/>
      </rPr>
      <t>REACH-Secotral Indicators</t>
    </r>
    <r>
      <rPr>
        <sz val="9"/>
        <color rgb="FF000000"/>
        <rFont val="Arial"/>
        <family val="2"/>
      </rPr>
      <t xml:space="preserve">)
% HH reporting [reason] as a risk for eviction. (What are the main reasons for fearing eviction? Answer- </t>
    </r>
    <r>
      <rPr>
        <b/>
        <sz val="9"/>
        <color rgb="FF000000"/>
        <rFont val="Arial"/>
        <family val="2"/>
      </rPr>
      <t>Ownership of property is disputed</t>
    </r>
    <r>
      <rPr>
        <sz val="9"/>
        <color rgb="FF000000"/>
        <rFont val="Arial"/>
        <family val="2"/>
      </rPr>
      <t>) (</t>
    </r>
    <r>
      <rPr>
        <b/>
        <sz val="9"/>
        <color rgb="FF000000"/>
        <rFont val="Arial"/>
        <family val="2"/>
      </rPr>
      <t>REACH-Sectoral Indicators</t>
    </r>
    <r>
      <rPr>
        <sz val="9"/>
        <color rgb="FF000000"/>
        <rFont val="Arial"/>
        <family val="2"/>
      </rPr>
      <t xml:space="preserve">)
</t>
    </r>
    <r>
      <rPr>
        <u/>
        <sz val="9"/>
        <color rgb="FF000000"/>
        <rFont val="Arial"/>
        <family val="2"/>
      </rPr>
      <t xml:space="preserve">The three indicators in the first looking are different but all of them have its similarities to understand the issues with HLP disputes. </t>
    </r>
    <r>
      <rPr>
        <b/>
        <u/>
        <sz val="9"/>
        <color rgb="FF000000"/>
        <rFont val="Arial"/>
        <family val="2"/>
      </rPr>
      <t xml:space="preserve">Although the JIAF indicator is more straightforward to understand the HLP disputes. </t>
    </r>
  </si>
  <si>
    <r>
      <t>% HH lacking secure tenure (</t>
    </r>
    <r>
      <rPr>
        <b/>
        <sz val="9"/>
        <color rgb="FF000000"/>
        <rFont val="Arial"/>
        <family val="2"/>
      </rPr>
      <t>REACH-Sectoral Indicators</t>
    </r>
    <r>
      <rPr>
        <sz val="9"/>
        <color rgb="FF000000"/>
        <rFont val="Arial"/>
        <family val="2"/>
      </rPr>
      <t xml:space="preserve">)
</t>
    </r>
    <r>
      <rPr>
        <u/>
        <sz val="9"/>
        <color rgb="FF000000"/>
        <rFont val="Arial"/>
        <family val="2"/>
      </rPr>
      <t>Both indicators use opposite approach. The first one (REACH) indicator will show the households with lack of security of tenure, while the JIAF indicator will show the households accessing the housing with security of tenure.</t>
    </r>
  </si>
  <si>
    <r>
      <t xml:space="preserve">The exact indicator is not available however the following ones can provide information on heavily damaged/destroyed: How many of the houses in the location are heavily damaged/destroyed at the present time? 
(House damage needs to have been caused due to the 2014 conflict) </t>
    </r>
    <r>
      <rPr>
        <b/>
        <sz val="9"/>
        <color rgb="FF000000"/>
        <rFont val="Arial"/>
        <family val="2"/>
      </rPr>
      <t>(ILA</t>
    </r>
    <r>
      <rPr>
        <sz val="9"/>
        <color rgb="FF000000"/>
        <rFont val="Arial"/>
        <family val="2"/>
      </rPr>
      <t>)</t>
    </r>
  </si>
  <si>
    <t>% HH relying on stress / crisis / emergency strategies to cope with a lack of resources to meet basic needs. 
Q: During the past 30 days, did anyone in your household have to do one of the following things because there was not enough food or money to buy it?</t>
  </si>
  <si>
    <t>Selling means of transport (car, motorbike)
Children dropout from school
Reducing expenditure on noon-food items (health, education)
Changing place of residence and accommodation to reduce expenses
Accepting that adults engage in risky behaviour
Children under 18 work to provide resources
Whole family are migrating
Children or adult forcefully marriaged
[for each category: Yes; No, already did; No, no one in the household did; Not applicable]</t>
  </si>
  <si>
    <t>Same as above</t>
  </si>
  <si>
    <t>% HH with at least one individual with a disability
Qs: Does any member of your household have difficulty ......?</t>
  </si>
  <si>
    <t>No difficulty
Yes, some difficulty
Yes, lots of difficulty
Cannot do at all</t>
  </si>
  <si>
    <t>% HHs reporting at least 2 shelter improvements
Q: What are your priority needs to make your current shelter a better place to live in (top 2)?</t>
  </si>
  <si>
    <t>No improvements needed
Protection from hazards (contamination from explosive remnants of war, land at risk of flooding or landslides, solid waste dumping site, fire risks, etc.)
Improve safety and security (shelter located in an insecure/ isolated area, shelter not solid enough to offer protection from intruders, not fenced, etc.)
Improve privacy and dignity (no separate rooms, not enough space, shared facilities such as toilets &amp; showers, low/high ceilings, lack of ventilation, lack of natural lighting)
Protect from climatic conditions (leaking roof, floor not insulated, opening on the walls, broken windows, lack of ventilation, missing heating system, etc.) 
Other</t>
  </si>
  <si>
    <t>Partial</t>
  </si>
  <si>
    <t>Lack of insulation from cold
Leaks during light rain
Leaks during heavy rain
Limited ventilation (less than 0.5m2 ventilation in each room including kitchen)
Presence of dirt or debris (removable)
Presence of dirt or debris (non-removable)
None of the above
Don´t know</t>
  </si>
  <si>
    <t>% of HH with individuals who have been injured or killed by explosive ordnance
Q: Has anyone in your household been injured or killed by an explosive ordnance since 2014 (e.g. landmines, bombs, missiles, IEDs, bullets or other explosive weapons from conflict)?</t>
  </si>
  <si>
    <t>Yes, killed
Yes, injured
No
Decline to answer</t>
  </si>
  <si>
    <t>% HH satisfied with aid received; % HH not satisfied with quantity; % HH not satisfied with aid worker behavior
Q: If you have received aid in the last 30 days, are you satisfied with the aid you received?
If you have received aid in the last 30 days and were not satisfied, why were you not satisfied with the aid received?
Are you satisfied with the way aid workers have behaved in the last 6 months in your location?</t>
  </si>
  <si>
    <t>Yes, No, Do not know, Decline to answer
Quality not good enough 
Quantity not enough 
Delays in delivery of aid 
Other</t>
  </si>
  <si>
    <t>% HH with at least one child not attending formal or informal education regularly (at least 4 days a week) prior to the COVID-19 outbreak
Qs: Was [this person] (6-17) attending school at least 4 days per week prior to the COVID-19 outbreak? (during school season)
Was [this person] (6-17) attending a non-formal learning environment at least 4 days per week prior to the COVID-19 outbreak? (during school season)</t>
  </si>
  <si>
    <t>Yes
No
Do not know
Decline to answer
[individual level question]</t>
  </si>
  <si>
    <t xml:space="preserve">% HH with "moderately insecure" or "severely insecure" food security status, using CARI Analysis (composite using FCS, food expenditure share, and CS categories)
Q: Over the last 7 days, how many days did your household consume the following food? </t>
  </si>
  <si>
    <t>integer</t>
  </si>
  <si>
    <t>% HH that can access primary healthcare (health clinic and/or hospital) within one hour's walk from dwellings
Q1: How long does it take you to reach the nearest health clinic by walking?
Q2: How long does it take you to reach the nearest hospital by walking?</t>
  </si>
  <si>
    <t>Less than 15 mins
Less than 30 mins
Less than 1h
Less than 3h
More than 3h</t>
  </si>
  <si>
    <t xml:space="preserve">
Qs: Is [this person] currently working or contributing to household income?
Is [this person] actively seeking work?
</t>
  </si>
  <si>
    <t>Yes, No</t>
  </si>
  <si>
    <t>Q: What was the primary reason behind taking on debt?</t>
  </si>
  <si>
    <t>Basic household expenditures; 
Healthcare; 
Food; 
Education; 
Clothing or NFIs; 
Purchasing productive assets for small business or income-generating activities</t>
  </si>
  <si>
    <t>Q: What is your household\s total amount of debt, in IQD?</t>
  </si>
  <si>
    <t>Q: Are there any areas in your location where women and girls feel unsafe?
If yes, what areas do women and girls in your community avoid or feel unsafe?</t>
  </si>
  <si>
    <t xml:space="preserve">Multiple choice: Latrines and bathing facilities
Markets
Distribution areas
Water points                                                    
Social/community areas 
On their way to school                         
On their way to women community centers/health centers
Do not know </t>
  </si>
  <si>
    <t>Yes, No, Don't know</t>
  </si>
  <si>
    <t>% of households having access to a sufficient quantity of water for drinking and domestic purposes
Q: Does your household currently have enough water to meet the following needs? (drinking, cooking, personal hygiene, other domestic purposes)</t>
  </si>
  <si>
    <t>% of HH with access to an improved water source
Q: What is the main source of water used by your household for drinking?</t>
  </si>
  <si>
    <t>1.Piped water into compound
2.Piped water connected to public tap
3.Borehole
4.Protected well
5.Protected rainwater tank
6.Protected spring
7.Bottled water
Unimproved:
8.Water Trucking
9.Illegal connection to piped network
10.Unprotected rainwater tank
11.Unprotected well
12.Unprotected spring
13. Surface water without pre-treatment (river, dam, lake, pond, stream, canal)
14. Other</t>
  </si>
  <si>
    <t xml:space="preserve">No </t>
  </si>
  <si>
    <t>MCNA Indicator &amp; Question</t>
  </si>
  <si>
    <t>MCNA Answer Choices</t>
  </si>
  <si>
    <t xml:space="preserve">Yes </t>
  </si>
  <si>
    <t>% HH treating their water prior to drinking</t>
  </si>
  <si>
    <t>Bedding items (beedsheets, pillows)
Mattresses/sleeping mats
Blankets
Cooking utensils
Cooking stove
Winter heaters
Clothing
Fuel (Cooking / Heating)</t>
  </si>
  <si>
    <t>Indicator Group / Sector</t>
  </si>
  <si>
    <t>ILA Indicator</t>
  </si>
  <si>
    <t>ILA Question</t>
  </si>
  <si>
    <t>ILA Answer Choices</t>
  </si>
  <si>
    <t>Education, Security, Protection - CP</t>
  </si>
  <si>
    <t>Yes - partial alignment</t>
  </si>
  <si>
    <t>% of location in which schools/hospitals are reportedly being used by armed actors</t>
  </si>
  <si>
    <t>In the last three months, did any of the following security incidents occur in this location (regardless of who the perpetrator was)?  
Schools and hospitals used by armed actors</t>
  </si>
  <si>
    <t>Yes
No
Do not know 
Prefer not to answer</t>
  </si>
  <si>
    <t>Shelter, HLP</t>
  </si>
  <si>
    <t>% of locations in which more than 25% of houses are reportedly heavily damaged/destroyed (due to conflicts since 2014)</t>
  </si>
  <si>
    <t>How many of the houses in the location are heavily damaged/destroyed at the present time? 
(House damage needs to have been caused due to the 2014 conflict)</t>
  </si>
  <si>
    <t>A – All of the houses are heavily damaged/destroyed (100%)
B – Nearly all of the houses are heavily damaged/destroyed (75%-99%)	
C – Most houses are heavily damaged/destroyed (50%-74%)
D – Less than half of the houses are heavily damaged/destroyed (25%-49%)
E – Less than a quarter of the houses are heavily damaged/destroyed (1%-24%	)
F – None of the houses are heavily damaged/destroyed (0%) / All of the houses have been reconstructed/rehabilitated</t>
  </si>
  <si>
    <t>Access to services, Protection</t>
  </si>
  <si>
    <t>% of locations reporting the presence of a fully operational court within their sub-district</t>
  </si>
  <si>
    <t>Is there a court present in your sub-district?</t>
  </si>
  <si>
    <t xml:space="preserve">Yes, it is open and fully operational
Yes, it is open but only partially operational
Yes, but it is temporarily closed
Yes, but it is permanently closed
No
Do not know </t>
  </si>
  <si>
    <t>% of locations reporting the presence of a police station within a 5km distance</t>
  </si>
  <si>
    <t>Is there a police station in the location or within a 5km distance?</t>
  </si>
  <si>
    <t xml:space="preserve">Yes
No, but access is still possible
No, access is impossible 
Do not know </t>
  </si>
  <si>
    <t>% of locations in which more than 50% of destroyed or heavily damaged houses are reportedly being reconstructed/rehabilitated (among those with a presence of destroyed or heavily damaged houses)</t>
  </si>
  <si>
    <t xml:space="preserve">Are any of the heavily damaged/destroyed houses currently being reconstructed/rehabilitated? (note: by the households or with the help of NGOs or government) </t>
  </si>
  <si>
    <t>A – Nearly all of the houses are being reconstructed/rehabilitated (75%-99%)	
B – Most houses are being reconstructed/rehabilitated (50%-74%)
C – Less than half of the houses are being reconstructed/rehabilitated (25%-49%)
D – Less than a quarter of the houses are being reconstructed/rehabilitated (1%-24%)
E – None of the houses are being reconstructed/rehabilitated (0%)</t>
  </si>
  <si>
    <t>% of locations reporting the presence of a fully operational civil affairs directorate for the replacement of civil IDs within their sub-district</t>
  </si>
  <si>
    <t xml:space="preserve">Is there a civil affairs directorate for the issuance and/or replacement of civil IDs in your sub-district? </t>
  </si>
  <si>
    <t>% of locations reporting the presence of a fully operational PDS office for the issuance and/or replacement of PDS cards within their sub-district</t>
  </si>
  <si>
    <t>Is there a PDS office for the issuance and/or replacement of PDS cards in your sub-district?</t>
  </si>
  <si>
    <t>Protection, Social Cohesion</t>
  </si>
  <si>
    <t>% of locations reporting incidents of social tensions, violence or threats in the three months prior to data collection</t>
  </si>
  <si>
    <t xml:space="preserve">In your location, have any of the following types of social tensions happened in the last 3 months? </t>
  </si>
  <si>
    <t xml:space="preserve">Mistrust between different groups </t>
  </si>
  <si>
    <t xml:space="preserve">Yes
No
Do not know 
Prefer not to answer </t>
  </si>
  <si>
    <t>Incidents / physical violence between different groups</t>
  </si>
  <si>
    <t>Threats between different groups</t>
  </si>
  <si>
    <t>Social Cohesion</t>
  </si>
  <si>
    <t>% of locations in which IDPs/returnees are reportedly facing discrimination when it comes to accessing [type of access]</t>
  </si>
  <si>
    <t>In your location, are IDPs/returnees facing discrimination when it comes to access to any of the following: (select one answer)</t>
  </si>
  <si>
    <t>Access to basic services such as health or education</t>
  </si>
  <si>
    <t>Yes
No
Don’t know
NA</t>
  </si>
  <si>
    <t>Access to fair employment (having a job and being paid equally)</t>
  </si>
  <si>
    <t>Political representation of any kind (local council etc)</t>
  </si>
  <si>
    <t>Access to aid (including that provided by the government)</t>
  </si>
  <si>
    <t>Are there places in your location where returnees feelunwelcome or uncomfortable?</t>
  </si>
  <si>
    <t>Yes
No
Don’t know
Prefer not to say</t>
  </si>
  <si>
    <t>% HH with at least one person under (&lt;18) working</t>
  </si>
  <si>
    <t>Livelihoods, Food Security</t>
  </si>
  <si>
    <t>% of HH spending more than x% of their total expenditure on food</t>
  </si>
  <si>
    <t>During the past 30 days, how much did your household spend (in IQD) on each of the following categories of items for domestic consumption</t>
  </si>
  <si>
    <t>Food</t>
  </si>
  <si>
    <t>Health, Protection CP</t>
  </si>
  <si>
    <t>Does any members of your household suffer in the last 30 days and show signs of psychosocial distress such as nightmare, lasting sadness, extreme fatigue, being often tearful or extreme anxiety?</t>
  </si>
  <si>
    <t>% of households satisfied with regards to access to hygiene items</t>
  </si>
  <si>
    <t>How satisfied is your household with regards to access to hygiene items (soap, feminine hygiene products, baby diapers, toothpaste/brush)?</t>
  </si>
  <si>
    <t>Very satisfied
Satisfied
Unsatisfied
Very unsatisfied
Don't know</t>
  </si>
  <si>
    <t>% HH with at least one individual with a chronic health condition</t>
  </si>
  <si>
    <t xml:space="preserve">Does [this person] suffer from any of the following health conditions? </t>
  </si>
  <si>
    <t>Conflict-related injury (gunshot, mines, shrapnel, etc.
Communicable disease (vaccine-preventable, water-borne, vector-borne, food-borne)
Chronic health condition (heart disease, hypertension, blood disease, cancer, lung disease, diabetes, renal diseases)
Other health issue (specify)
None</t>
  </si>
  <si>
    <t>% HH with members unable to access one or more services due to disability</t>
  </si>
  <si>
    <t>Does any member of your household face any difficulties in accessing any basic services (e.g education, health clinics, markets, etc.) due to their difficulty?</t>
  </si>
  <si>
    <t xml:space="preserve">Please indicate which of the following items you need but do not have in your HH. (select max. 2)
</t>
  </si>
  <si>
    <t>% of children under 18 currently not residing in the HH</t>
  </si>
  <si>
    <t>Do you have any other child, son or daughter under 18 years not living in the HH?</t>
  </si>
  <si>
    <t>Yes
No
Don't know
Don't want to say</t>
  </si>
  <si>
    <t>If yes, how many?</t>
  </si>
  <si>
    <t>% of HHs with children under 18 currently not residing in the HH, by protectiion incident</t>
  </si>
  <si>
    <t>We would like to understand why those children are not living under your roof. I read you a list of possibilities, let me know how many children currently under 18 years fall in each category</t>
  </si>
  <si>
    <t>1. Married and left the house 2. Left the house to seek employment 3. Left the house to study 4. Left the house to engage with the army or armed groups 5. Kidnapped/abducted 6. Missing (left and no news) 7. Arbitrarily detained</t>
  </si>
  <si>
    <t>Health, Protection GBV</t>
  </si>
  <si>
    <t xml:space="preserve">Alignment with JIAF </t>
  </si>
  <si>
    <t>No related JIAF indicator</t>
  </si>
  <si>
    <t xml:space="preserve">ILA V </t>
  </si>
  <si>
    <t>Alignment with JIAF</t>
  </si>
  <si>
    <t xml:space="preserve">No. </t>
  </si>
  <si>
    <t xml:space="preserve">Framework </t>
  </si>
  <si>
    <t>for consideration</t>
  </si>
  <si>
    <t xml:space="preserve">to identify </t>
  </si>
  <si>
    <t xml:space="preserve">requires thresholds </t>
  </si>
  <si>
    <t xml:space="preserve">Avaialble </t>
  </si>
  <si>
    <t xml:space="preserve">comments </t>
  </si>
  <si>
    <t xml:space="preserve">Action and Responsible </t>
  </si>
  <si>
    <t xml:space="preserve">1st week of October </t>
  </si>
  <si>
    <t>Tab 1</t>
  </si>
  <si>
    <t>Tab 2</t>
  </si>
  <si>
    <t xml:space="preserve">Tab 3 </t>
  </si>
  <si>
    <t>Tab 4</t>
  </si>
  <si>
    <t xml:space="preserve">Tab 5 </t>
  </si>
  <si>
    <t xml:space="preserve">Tab 6 </t>
  </si>
  <si>
    <t xml:space="preserve">Tab 7 </t>
  </si>
  <si>
    <t xml:space="preserve">Consult and use as reference </t>
  </si>
  <si>
    <t xml:space="preserve">Unit of analysis </t>
  </si>
  <si>
    <t xml:space="preserve">SECONDARY DATA REVIEW -&gt;  IDENTIFICATION OF POPULATION GROUPS, GEOGRAPHICAL AREAS, DRIVERS AND FACTORS, VULNERABILITIES, 
Inform JIAF Calculations for humanitarian conditions
Joint-intersectoral analysis of context, shocks and impacts of the crisis to allow for identification of main population groups, geographical aeas, drivers and factors, etc.   
Data compiled and consolidated for GIMAC use here: https://docs.google.com/spreadsheets/d/1Lt7keNvHxDt3uqxa0ImLzWSFvccP5BLyJutRNRFadyk/edit#gid=0
SDR Output will be jointly reviewed, refined and validated in country. </t>
  </si>
  <si>
    <t xml:space="preserve">
PRIMARY DATA COLLECTION --&gt; PIN AND SEVERITY ESTIMATES 
Measuring intersectoral severity (the degree of harm brought by all combined humanitarian consequences). For each level in the scale, information from the three Humanitarian Conditions subpillars is combined to identify a degree of severity, aligned to specific response objectives.  
Informed by SDR above
Primary data collection: MCNA VIII, ILA V, Cluster data </t>
  </si>
  <si>
    <t xml:space="preserve">Aproach and Output </t>
  </si>
  <si>
    <t>OUTSTANDING</t>
  </si>
  <si>
    <t>Severity Class</t>
  </si>
  <si>
    <t>Name</t>
  </si>
  <si>
    <t>Key reference outcome</t>
  </si>
  <si>
    <t>Potential Response objectives</t>
  </si>
  <si>
    <t>None / Minimal</t>
  </si>
  <si>
    <t xml:space="preserve">Building resilience &amp; Supporting Disasater Risk Reduction </t>
  </si>
  <si>
    <t>Stress</t>
  </si>
  <si>
    <t xml:space="preserve">Supporting Disaster Risk Reduction &amp; Protecting Livelihoods </t>
  </si>
  <si>
    <t>Severe</t>
  </si>
  <si>
    <t>Protecting Livelihoods &amp;  Preventing &amp; Mitigating Risk of extreme deterioration of Humanitarian conditions</t>
  </si>
  <si>
    <t>Extreme</t>
  </si>
  <si>
    <t xml:space="preserve">Saving Lives &amp; Livelihoods </t>
  </si>
  <si>
    <t>Catastrophic</t>
  </si>
  <si>
    <t>Reverting/Preventing Widespread death and/or Total collapse of livelihoods</t>
  </si>
  <si>
    <t>JIAF SEVERITY SCALE REFERENCE TABLE</t>
  </si>
  <si>
    <t>Please refer to the JIAF 2021 gudiance here:  https://assessments.hpc.tools/km/2021-jiaf-guidance</t>
  </si>
  <si>
    <t>●        Living Standards are acceptable (taking into account the context): possibility of having some signs of deterioration and/or inadequate social basic services, possible needs for strengthening the Legal framework.</t>
  </si>
  <si>
    <t>●        Ability to afford/meet all essential basic needs without adopting unsustainable Coping Mechanisms (such as erosion/depletion of assets).</t>
  </si>
  <si>
    <t>●         No or minimal/low risk of impact on Physical and Mental Wellbeing.</t>
  </si>
  <si>
    <t>●        Living Standards under stress, leading to adoption of coping strategies (that reduce ability to protect or invest in livelihoods).</t>
  </si>
  <si>
    <t>●        Inability to afford/meet some basic needs without adopting stressed, unsustainable and/or short-term reversible Coping Mechanisms.</t>
  </si>
  <si>
    <t>●        Minimal impact on Physical and Mental Wellbeing (stressed Physical and Mental Wellbeing) overall.</t>
  </si>
  <si>
    <t>●        Possibility of having some localized/targeted incidents of violence (including human rights violations).</t>
  </si>
  <si>
    <t>●        Degrading Living Standards (from usual/typical), leading to adoption of negative Coping Mechanisms with threat of irreversible harm (such as accelerated erosion/depletion of assets). Reduced access/availability of social/basic goods and services</t>
  </si>
  <si>
    <t>●        Inability to meet some basic needs without adopting crisis/emergency - short/medium term irreversible - Coping Mechanisms.</t>
  </si>
  <si>
    <t>●        Degrading Physical and Mental Wellbeing. Physical and mental harm resulting in a loss of dignity.</t>
  </si>
  <si>
    <t>●        Collapse of Living Standards, with survival based on humanitarian assistance and/or long term irreversible extreme coping strategies.</t>
  </si>
  <si>
    <t>●        Extreme loss/liquidation of livelihood assets that will lead to large gaps/needs in the short term.</t>
  </si>
  <si>
    <t>●        Widespread grave violations of human rights. Presence of irreversible harm and heightened mortality</t>
  </si>
  <si>
    <t>●        Total collapse of Living Standards</t>
  </si>
  <si>
    <t>●        Near/Full exhaustion of coping options.</t>
  </si>
  <si>
    <t>●        Last resort Coping Mechanisms/exhausted.</t>
  </si>
  <si>
    <t>●        Widespread mortality (CDR, U5DR) and/or irreversible harm. Widespread physical and mental irreversible harm leading to excess mortality.</t>
  </si>
  <si>
    <t>●        Widespread grave violations of human rights.</t>
  </si>
  <si>
    <r>
      <t xml:space="preserve">Tab 3.1 - 3.7 </t>
    </r>
    <r>
      <rPr>
        <b/>
        <sz val="9"/>
        <color theme="5"/>
        <rFont val="Arial"/>
        <family val="2"/>
      </rPr>
      <t xml:space="preserve"> </t>
    </r>
  </si>
  <si>
    <r>
      <rPr>
        <u/>
        <sz val="9"/>
        <color theme="1"/>
        <rFont val="Arial"/>
        <family val="2"/>
      </rPr>
      <t>REFERENCE</t>
    </r>
    <r>
      <rPr>
        <sz val="9"/>
        <color theme="1"/>
        <rFont val="Arial"/>
        <family val="2"/>
      </rPr>
      <t xml:space="preserve">: JIAF Indicator Reference Table </t>
    </r>
  </si>
  <si>
    <r>
      <rPr>
        <u/>
        <sz val="9"/>
        <color theme="1"/>
        <rFont val="Arial"/>
        <family val="2"/>
      </rPr>
      <t>REFERENCE</t>
    </r>
    <r>
      <rPr>
        <sz val="9"/>
        <color theme="1"/>
        <rFont val="Arial"/>
        <family val="2"/>
      </rPr>
      <t xml:space="preserve">: JIAF Severity Scale </t>
    </r>
  </si>
  <si>
    <r>
      <rPr>
        <u/>
        <sz val="9"/>
        <color theme="1"/>
        <rFont val="Arial"/>
        <family val="2"/>
      </rPr>
      <t>REFERENCE</t>
    </r>
    <r>
      <rPr>
        <sz val="9"/>
        <color theme="1"/>
        <rFont val="Arial"/>
        <family val="2"/>
      </rPr>
      <t xml:space="preserve">: 2020 HNO Inter-sectoral frameworks for JIAF Pillar 4 </t>
    </r>
  </si>
  <si>
    <r>
      <rPr>
        <u/>
        <sz val="9"/>
        <color theme="1"/>
        <rFont val="Arial"/>
        <family val="2"/>
      </rPr>
      <t>REFERENCE</t>
    </r>
    <r>
      <rPr>
        <sz val="9"/>
        <color theme="1"/>
        <rFont val="Arial"/>
        <family val="2"/>
      </rPr>
      <t xml:space="preserve">: 2020 HNO Cluster Severity and PIN Indicators </t>
    </r>
  </si>
  <si>
    <t xml:space="preserve">Output </t>
  </si>
  <si>
    <t xml:space="preserve">Timeframe </t>
  </si>
  <si>
    <t xml:space="preserve">HNO 2021 Analysis Framework (JIAF Pillars 1, 2, 3, 4) </t>
  </si>
  <si>
    <t xml:space="preserve">HNO 2021 Inter-sector PIN and Severity Analytical Framework (JIAF pillar 4, humanitarian conditions) </t>
  </si>
  <si>
    <t xml:space="preserve"> HNO 2021 List of cluster severity indicators </t>
  </si>
  <si>
    <t xml:space="preserve">Linked to the above. This will serve as reference materials for clusters and OCHA for the drafting of the HNO methodology section, lessons learnt and review of use of JIAF indicators. </t>
  </si>
  <si>
    <t xml:space="preserve">OCHA to summarize/vizualize for the purpose of the methodological paper and the HNO document.This will serve as reference materials for the drafting of the HNO methodology section and lessons learnt. </t>
  </si>
  <si>
    <t>Critical Indicator (see definition in JIAF Guidance)</t>
  </si>
  <si>
    <t xml:space="preserve">no </t>
  </si>
  <si>
    <t>DNK / N/A</t>
  </si>
  <si>
    <t>Alignment with JIAF  (yes, no, partial)</t>
  </si>
  <si>
    <t>JIAF Categorization</t>
  </si>
  <si>
    <t xml:space="preserve">Impact </t>
  </si>
  <si>
    <t>Shock</t>
  </si>
  <si>
    <t xml:space="preserve">Context </t>
  </si>
  <si>
    <r>
      <t xml:space="preserve">1/ </t>
    </r>
    <r>
      <rPr>
        <b/>
        <sz val="9"/>
        <color theme="1"/>
        <rFont val="Arial"/>
        <family val="2"/>
      </rPr>
      <t>Clusters</t>
    </r>
    <r>
      <rPr>
        <sz val="9"/>
        <color theme="1"/>
        <rFont val="Arial"/>
        <family val="2"/>
      </rPr>
      <t xml:space="preserve"> to confirm/selectindicator for cluster PIN and severity calculation, including setting/confirming thresholds, identify critical indicator, and considering cross-cutting indicators, gender, age, disability aspects and AAP.
2/ OCHA to compile based on individual cluster inputs. </t>
    </r>
  </si>
  <si>
    <r>
      <t xml:space="preserve">1/ </t>
    </r>
    <r>
      <rPr>
        <b/>
        <sz val="9"/>
        <color theme="1"/>
        <rFont val="Arial"/>
        <family val="2"/>
      </rPr>
      <t>OCHA, REACH and DTM</t>
    </r>
    <r>
      <rPr>
        <sz val="9"/>
        <color theme="1"/>
        <rFont val="Arial"/>
        <family val="2"/>
      </rPr>
      <t xml:space="preserve"> to compile by 27 August. 
2/ AWG/IMWG members to feed-back on the draft inter-sectoral model proposed for PIN and severity calculations by cob Monday, 31 August  </t>
    </r>
  </si>
  <si>
    <t xml:space="preserve">Comparison of available cluster indicators (MCNA, ILA, other sources) vs. availability in JIAF </t>
  </si>
  <si>
    <t xml:space="preserve">2021 IRAQ HNO FRAMEWORK FOR OVERALL PIN AND SEVERITY </t>
  </si>
  <si>
    <t xml:space="preserve">Are you aware of how to access complaint mechanisms
</t>
  </si>
  <si>
    <t xml:space="preserve">Yes/No/DNK/Decline to Answer </t>
  </si>
  <si>
    <t>% HH unsatisfied with regards to access to hygiene items</t>
  </si>
  <si>
    <t>% HH without access to an improved water source</t>
  </si>
  <si>
    <t xml:space="preserve">% HH without access to improved functional sanitation facilities </t>
  </si>
  <si>
    <t>% HH without access to soap and practicing handwashing</t>
  </si>
  <si>
    <t>% HH without access to a sufficient quantity of water for drinking and domestic purposes</t>
  </si>
  <si>
    <t>The indicators have been revised to reflect negative perceptions of needs. Eg " Without access to improved water source"</t>
  </si>
  <si>
    <t>partial</t>
  </si>
  <si>
    <t>Available : % of HHs where at least one member has received any information, education or training about the risk of explosive ordnance? (MCNA)</t>
  </si>
  <si>
    <t>Partially Available : % of IDP HHs not intending to return to their AoO due to explosive ordnance contamination (MCNA).</t>
  </si>
  <si>
    <t>Not Available: We have this indicator % of HH with individuals who have been injured or killed by explosive ordnance (MCNA) which indicates no. of vicitms but not if they received Victim Assistance or not.</t>
  </si>
  <si>
    <t xml:space="preserve">Available: % of HH with individuals who have been injured or killed by explosive ordnance (MCNA).  Also this information exists in National Mine Action database but it's not complete, and it exists in iMMAP Explosive Hazards Incidents database which is complementary to the National database. </t>
  </si>
  <si>
    <t xml:space="preserve">Partiollay Available: % of locations in which HHs are reportedly concerned about explosive devices (mines, UXOs, IEDs) (ILA). It's on location level. </t>
  </si>
  <si>
    <t xml:space="preserve">Available: % of HH with individuals who have been injured or killed by explosive ordnance (MCNA). Also this information exists in National Mine Action database but it's not complete, and it exists in iMMAP Explosive Hazards Incidents database which is complementary to the National database. </t>
  </si>
  <si>
    <t>% of HH with individuals who have been injured or killed by explosive ordnance</t>
  </si>
  <si>
    <t xml:space="preserve">OCHA comment </t>
  </si>
  <si>
    <t xml:space="preserve">thresholds changed </t>
  </si>
  <si>
    <t>73a</t>
  </si>
  <si>
    <t>74a</t>
  </si>
  <si>
    <t>75a</t>
  </si>
  <si>
    <t>76a</t>
  </si>
  <si>
    <t>77a</t>
  </si>
  <si>
    <t>5% - 10%</t>
  </si>
  <si>
    <t>10% - 20%</t>
  </si>
  <si>
    <t>&gt; 20%</t>
  </si>
  <si>
    <t>10% - 15%</t>
  </si>
  <si>
    <t>15% - 20%</t>
  </si>
  <si>
    <t>20% - 25%</t>
  </si>
  <si>
    <t>&gt; 25%</t>
  </si>
  <si>
    <t>25% - 30%</t>
  </si>
  <si>
    <t>30% - 35%</t>
  </si>
  <si>
    <t>&gt; 35%</t>
  </si>
  <si>
    <t xml:space="preserve">if indicator/data not available, conversations around thresholds are not required. </t>
  </si>
  <si>
    <t>% HH lacking secure tenur</t>
  </si>
  <si>
    <t xml:space="preserve">      % of HHs lacking valid HLP documentation OR 
% HH reporting [reason] as a risk for eviction. (What are the main reasons for fearing eviction</t>
  </si>
  <si>
    <t>% HHs reporting risk of eviction 
OR 
% locations where families have been evicted</t>
  </si>
  <si>
    <t xml:space="preserve">% houses damaged by location </t>
  </si>
  <si>
    <t>ILA V</t>
  </si>
  <si>
    <t>% HH lacking secure tenure</t>
  </si>
  <si>
    <t>Status of Alignment with JIAF Indicators</t>
  </si>
  <si>
    <t>Relevant indicator(s) of Education Cluster</t>
  </si>
  <si>
    <t>Location- or Individual-level indicator</t>
  </si>
  <si>
    <t>Severity Scale thresholds aligned?</t>
  </si>
  <si>
    <t>Datasource updates</t>
  </si>
  <si>
    <t>To be used in 2021 education cluster PIN and Severity Scales calculation</t>
  </si>
  <si>
    <t>Core Indicator (Proposed for Intersectoral)</t>
  </si>
  <si>
    <t>Access and learning environment</t>
  </si>
  <si>
    <t>% children dropping out of school in the last XX months</t>
  </si>
  <si>
    <t>HH: No school-aged children in the HH dropped ou
 Area: 0% of school-aged children dropped out</t>
  </si>
  <si>
    <t>Area: &lt;10% of school-aged children dropped out</t>
  </si>
  <si>
    <t>HH: Some school-aged children in the HH attend school
 Area: &lt;20% of school-aged children dropped out</t>
  </si>
  <si>
    <t>Area: &lt;30% of school-aged children dropped out</t>
  </si>
  <si>
    <t>HH: All school-aged children in the HH dropped out
 Area: &gt;=30% of school-aged children dropped out</t>
  </si>
  <si>
    <t>Country-level thresholds should be amended based on the pre-crisis drop-out rate</t>
  </si>
  <si>
    <t>% of children dropping out of school in the previous year.</t>
  </si>
  <si>
    <t>individual</t>
  </si>
  <si>
    <t>MCNA</t>
  </si>
  <si>
    <t>Country-level thresholds should be amended based on the pre-crisis enrolment rate</t>
  </si>
  <si>
    <t>Partially</t>
  </si>
  <si>
    <t>both</t>
  </si>
  <si>
    <t>partialy</t>
  </si>
  <si>
    <t>1, 2, and 3 MCNA VIII
4,5,6 and 7 ILA V</t>
  </si>
  <si>
    <t>Attacks on education</t>
  </si>
  <si>
    <t>% of children who have suffered attacks in or on their way to school in the last XX months</t>
  </si>
  <si>
    <t>EiE/protection monitoring</t>
  </si>
  <si>
    <t>No attacks</t>
  </si>
  <si>
    <t>Verbal attacks</t>
  </si>
  <si>
    <t>Physical assault without serious injury</t>
  </si>
  <si>
    <t>Physical assault with serious injury</t>
  </si>
  <si>
    <t>Physical assault with fatal injury</t>
  </si>
  <si>
    <t>Main barriers to school for school-aged children</t>
  </si>
  <si>
    <t>MCNA and ILA</t>
  </si>
  <si>
    <t>Number of schools occupied by armed groups in the last XX months</t>
  </si>
  <si>
    <t>1)% of locations in which schools/hospitals are reportedly being used by armed actors
2) # of schools occupided by armed groups</t>
  </si>
  <si>
    <t>location</t>
  </si>
  <si>
    <t>newly added for HNO 2021</t>
  </si>
  <si>
    <t>ILAV and MRM databse</t>
  </si>
  <si>
    <t>WASH in schools</t>
  </si>
  <si>
    <t>% children in schools without access to an improved drinking water source</t>
  </si>
  <si>
    <t>2; In epidemic situation, level 1</t>
  </si>
  <si>
    <t>EiE assessment</t>
  </si>
  <si>
    <t xml:space="preserve">Area: 0-20%
Water available from an improved sources located on the premises
</t>
  </si>
  <si>
    <t>21-40%
Water available from an improved source not on premises</t>
  </si>
  <si>
    <t>41-60%
Water available from an unimproved source on premises</t>
  </si>
  <si>
    <t>61-80%
Water from unimproved source not on premises</t>
  </si>
  <si>
    <t>81-100%
No water source</t>
  </si>
  <si>
    <t>yes or using the JIAF is newly added indicator</t>
  </si>
  <si>
    <t>% children in schools without access to hygienic latrines</t>
  </si>
  <si>
    <t>2; In epidemic situation, level 2</t>
  </si>
  <si>
    <t>Area: 0-20%
Access to gender-segregated improved sanitation facilities, shared with fewer than 50 students</t>
  </si>
  <si>
    <t>Area: 21-40%
Access to improved sanitation facilities, not gender-segregated, shared with fewer than 50 students</t>
  </si>
  <si>
    <t>Area: 41-60%
Access to improved sanitation facilities, shared with more than 50 students</t>
  </si>
  <si>
    <t>Area: 61-80%
Access to unimproved facilities OR access to improved facilities shared with more than 100 students</t>
  </si>
  <si>
    <t>Area: 81-100%
Disposal of human faeces in open spaces or with solid waste</t>
  </si>
  <si>
    <t>% of closed/non-functional schools</t>
  </si>
  <si>
    <t>All schools are open/functional</t>
  </si>
  <si>
    <t>Nr. of closed/non-functional schools &lt; 10%</t>
  </si>
  <si>
    <t>Nr. of closed/non-functional schools = 11-20%</t>
  </si>
  <si>
    <t>Nr. of closed/non-functional schools = 21-40%</t>
  </si>
  <si>
    <t>Nr. of closed/non-functional schools = 41% or higher</t>
  </si>
  <si>
    <t>% of location reporting the presence of a primary school within a 5km distance
% of location reporting the presence of a secondary school within a 5km distance</t>
  </si>
  <si>
    <t>ILA and DOE or MOE datasheets</t>
  </si>
  <si>
    <t>Pupil-Teacher Ratio</t>
  </si>
  <si>
    <t>PTR &lt; 40</t>
  </si>
  <si>
    <t>PTR = 41-50</t>
  </si>
  <si>
    <t>PTR = 51-60</t>
  </si>
  <si>
    <t>PTR = 61-75</t>
  </si>
  <si>
    <t>PTR = 76 or higher</t>
  </si>
  <si>
    <t>MoE Data sheets</t>
  </si>
  <si>
    <r>
      <t>1. % children attending formal or informal education regularly (at least 4 days a week) prior to the COVID-19 outbreak
2. % of school-aged children attending</t>
    </r>
    <r>
      <rPr>
        <b/>
        <sz val="9"/>
        <color rgb="FF000000"/>
        <rFont val="Arial"/>
        <family val="2"/>
      </rPr>
      <t xml:space="preserve"> formal education</t>
    </r>
    <r>
      <rPr>
        <sz val="9"/>
        <color rgb="FF000000"/>
        <rFont val="Arial"/>
        <family val="2"/>
      </rPr>
      <t xml:space="preserve"> regularly (at least 4 days a week) prior to the COVID-19 outbreak
3. % of school-aged children attending </t>
    </r>
    <r>
      <rPr>
        <b/>
        <sz val="9"/>
        <color rgb="FF000000"/>
        <rFont val="Arial"/>
        <family val="2"/>
      </rPr>
      <t>non-formal education</t>
    </r>
    <r>
      <rPr>
        <sz val="9"/>
        <color rgb="FF000000"/>
        <rFont val="Arial"/>
        <family val="2"/>
      </rPr>
      <t xml:space="preserve"> regularly (at least 4 days a week) prior to the COVID-19 outbreak
4. % of locations in which reportedly less than 75% of primary school-aged boys (6-12) were regularly attending primary school before the COVID-19 outbreak
5. % of locations in which reportedly less than 75% of secondary school-aged boys (13-17) were regularly attending secondary school before the COVID-19 outbreak
6. % of locations in which reportedly less than 75% of primary school aged girls (6-12) were regularly attending primary school before the COVID-19 outbreak
7. % of locations in which reportedly less than 75% of secondary school aged girls (13-17) were regularly attending secondary school before the COVID-19 outbreak
8. % of households with at least one child regularly attending formal or informal education (at least 4 days a week) prior to the COVID outbreak, while also working or contributing to the household income
</t>
    </r>
  </si>
  <si>
    <t>Education Sector Indicators and Severity Scale Calculation for Iraq 2021 HNO</t>
  </si>
  <si>
    <t>Severity Scales</t>
  </si>
  <si>
    <t>Indicator No</t>
  </si>
  <si>
    <t>Sub-Sector (JIAF)</t>
  </si>
  <si>
    <t>Pillar (JIAF)</t>
  </si>
  <si>
    <t>Sub-Pillar (JIAF)</t>
  </si>
  <si>
    <t>Indicators</t>
  </si>
  <si>
    <t>Information Source</t>
  </si>
  <si>
    <t>Corresponding Question in Needs Assessment</t>
  </si>
  <si>
    <t>Weight in Education Severity Scale</t>
  </si>
  <si>
    <t>Intersectoral Severity</t>
  </si>
  <si>
    <t>Severity 1: None/Minimal</t>
  </si>
  <si>
    <t>Severity 2: Stress</t>
  </si>
  <si>
    <t>Severity 3: Severe</t>
  </si>
  <si>
    <t>Severity 4: Extreme</t>
  </si>
  <si>
    <t>Severity 5: Catastrophic</t>
  </si>
  <si>
    <t>Prior to the COVID-19 outbreak, how many school-aged children in your household dropped out of school during the current school year (2019-2020)? 
Note: Enter 0 if none.</t>
  </si>
  <si>
    <t>HH: No school-aged children in the HH dropped out
 Area: 0% of school-aged children dropped out</t>
  </si>
  <si>
    <t xml:space="preserve">% children attending formal or informal education regularly (at least 4 days a week) prior to the COVID-19 outbreak
</t>
  </si>
  <si>
    <t xml:space="preserve"> - Was [this person] (6-17) attending school at least 4 days per week prior to the COVID-19 outbreak? (during school season)
 - Was [this person] (6-17) attending a non-formal learning environment at least 4 days per week prior to the COVID-19 outbreak? (during school season)</t>
  </si>
  <si>
    <t>&gt;90% of school-aged children (aged 6-17) are attending formal or informal education facilities</t>
  </si>
  <si>
    <t>70%-89% of school aged children (aged 6-17) are attending formal or informal education facilities</t>
  </si>
  <si>
    <t>55%-69% of school aged children (aged 6-17) are attending formal or informal education facilities</t>
  </si>
  <si>
    <t>30%-54% of school aged children (aged 6-17) are attending formal or informal education facilities</t>
  </si>
  <si>
    <t>0-29% of school aged children (aged 6-17) are attending formal or informal education facilities</t>
  </si>
  <si>
    <t>75% of HH's with a functional primary and secondary school within 5km</t>
  </si>
  <si>
    <t>How far is the closest functioning primary school to your location?
How far is the closest functioning secondary school to your location?</t>
  </si>
  <si>
    <t>HH has access to school within 2 km</t>
  </si>
  <si>
    <t>HH has access to school within 2 - 5 km</t>
  </si>
  <si>
    <t>HH has access to school in more than 5 km</t>
  </si>
  <si>
    <t>HH has no access to school</t>
  </si>
  <si>
    <t>% of IDPs/returnees reportedly living within 5km of a primary school</t>
  </si>
  <si>
    <t>Is there a functional primary school present in or within 5 km of your location? (public or private)</t>
  </si>
  <si>
    <t>All IDPs/returnees are living within 5km of an accessible primary school</t>
  </si>
  <si>
    <t>1-20% of the IDPs/returnees do not have access to primary school within 5 kms</t>
  </si>
  <si>
    <t>21-49% of the IDPs/returnees do not have access to primary school within 5 kms</t>
  </si>
  <si>
    <t>50-74% of the IDPs/returnees do not have access to primary school within 5 kms</t>
  </si>
  <si>
    <t>75-100% of the IDPs/returnees do not have access to primary school within 5 kms</t>
  </si>
  <si>
    <t>Pupil/Teacher Ratio</t>
  </si>
  <si>
    <t>% of Teachers not getting formal education salaries or non-formal education incentives</t>
  </si>
  <si>
    <t>Activity Info and/or DoE dataset</t>
  </si>
  <si>
    <t>% of school-aged children attending formal education regularly (at least 4 days a week) prior to the COVID-19 outbreak</t>
  </si>
  <si>
    <t>Was [this person] (6-17) attending school at least 4 days per week prior to the COVID-19 outbreak? (during school season)</t>
  </si>
  <si>
    <t>% of school-aged children attending non-formal education regularly (at least 4 days a week) prior to the COVID-19 outbreak</t>
  </si>
  <si>
    <t>Was [this person] (6-17) attending a non-formal learning environment at least 4 days per week prior to the COVID-19 outbreak? (during school season)</t>
  </si>
  <si>
    <t>% of locations in which reportedly less than 75% of primary school-aged boys (6-12) were regularly attending primary school before the COVID-19 outbreak</t>
  </si>
  <si>
    <t>What percentage of IDP/returnee boys aged 6-12 were attending primary school regularly (at least 3 days per week) before the COVID-19 outbreak (22.2.2020)?</t>
  </si>
  <si>
    <t xml:space="preserve"> % of locations in which reportedly less than 75% of secondary school-aged boys (13-17) were regularly attending secondary school before the COVID-19 outbreak</t>
  </si>
  <si>
    <t>What percentage of IDP/returnee boys aged 13-17 were attending secondary school regularly (at least 3 days per week) before the COVID-19 outbreak (22.2.2020)?</t>
  </si>
  <si>
    <t>% of locations in which reportedly less than 75% of primary school aged girls (6-12) were regularly attending primary school before the COVID-19 outbreak</t>
  </si>
  <si>
    <t>What percentage of IDP/returnee girls aged 6-12 were attending primary school regularly (at least 3 days per week) before the COVID-19 outbreak (22.2.2020)?</t>
  </si>
  <si>
    <t xml:space="preserve"> % of locations in which reportedly less than 75% of secondary school aged girls (13-17) were regularly attending secondary school before the COVID-19 outbreak</t>
  </si>
  <si>
    <t>What percentage of IDP/returnee girls aged 13-17 were attending secondary school regularly (at least 3 days per week) before the COVID-19 outbreak (22.2.2020)?</t>
  </si>
  <si>
    <t>% of households with at least one child regularly attending formal or informal education (at least 4 days a week) prior to the COVID outbreak, while also working or contributing to the household income</t>
  </si>
  <si>
    <t>Was [this person] (6-17) attending school at least 4 days per week prior to the COVID-19 outbreak? (during school season)
Was [this person] (6-17) attending a non-formal learning environment at least 4 days per week prior to the COVID-19 outbreak? (during school season)
Is [this person] currently working or contributing to household income?</t>
  </si>
  <si>
    <t xml:space="preserve">For those children not attending school, what were the reasons? </t>
  </si>
  <si>
    <t xml:space="preserve">% of locations in which schools/hospitals are reportedly being used by armed actors
</t>
  </si>
  <si>
    <t># of schools occupided by armed groups</t>
  </si>
  <si>
    <t>MRM databse</t>
  </si>
  <si>
    <t>% of location reporting the presence of a primary school within a 5km distance</t>
  </si>
  <si>
    <t>ILA V and DOE or MOE datasheets</t>
  </si>
  <si>
    <t>% of location reporting the presence of a secondary school within a 5km distance</t>
  </si>
  <si>
    <t>Is there a functional secondary school present in or within 5 km of your location? (public or private)</t>
  </si>
  <si>
    <t>% locations that reportedly do not have sufficient  teachers for their schools</t>
  </si>
  <si>
    <t>MoE and DoE datasheets</t>
  </si>
  <si>
    <t xml:space="preserve">Are there sufficient teachers for the schools? </t>
  </si>
  <si>
    <t>% of IDPs/returnees reportedly living within 5km of a secondary school</t>
  </si>
  <si>
    <t>% of HHs where at least one member has received any information, education or training about the risk of explosive ordnance?</t>
  </si>
  <si>
    <t>Available in JIAF with different phrasing : % of persons (SADD) in sites/communities reporting presence of EO without access to risk education</t>
  </si>
  <si>
    <t>No victims in the HH</t>
  </si>
  <si>
    <t>HH member injured with
a (a lot of difficulty) due to
explosive ordnance</t>
  </si>
  <si>
    <t>HH member injured with
(cannot do at all) or killed due to
explosive ordnance</t>
  </si>
  <si>
    <t>Available in JIAF: Persons killed or injured by EO by community (SADD)</t>
  </si>
  <si>
    <t>% of EO Contamination (Sqm)/EH Incidents</t>
  </si>
  <si>
    <t>National MA Database,  iMMAP EH Incidents Database, Landscan</t>
  </si>
  <si>
    <t>no (consider later)</t>
  </si>
  <si>
    <t>GBV Iraq indicator</t>
  </si>
  <si>
    <t>JIAF indicator</t>
  </si>
  <si>
    <t>Iraq proposed severity thresholds</t>
  </si>
  <si>
    <t>Critical Indicator</t>
  </si>
  <si>
    <t>% of HHs reporting NO awareness of SGBV referal pathways/specialized services for women or girls</t>
  </si>
  <si>
    <t>HH reporting awareness of SGBV referal pathways/specialized services for women or girls</t>
  </si>
  <si>
    <t>HH reporting NO awareness of SGBV referal pathways/specialized services for women or girls</t>
  </si>
  <si>
    <t>% HHs reported women and girls members who avoid areas because they feel unsafe there</t>
  </si>
  <si>
    <t>% of HH reporting fear of GBV (sexual violence and forced marriage / reproduction) for girls / boys / women in the HH
% of girls / boys / women at risk of GBV (sexual violence and forced marriage / reproduction)</t>
  </si>
  <si>
    <t>% of HHs that have suffered incidents affecting female HH members in the last 30 days (MCNA)</t>
  </si>
  <si>
    <t>HH reported no incidents affecting female members</t>
  </si>
  <si>
    <t>HH suffered incidents affecting female HH members in the last 30 days</t>
  </si>
  <si>
    <t>Health-GBV</t>
  </si>
  <si>
    <t>% of HH reported women of reproductive age (12-49) with no access to specialized reproductive health services</t>
  </si>
  <si>
    <t>% of girls / women at risk of GBV (sexual violence and forced marriage / reproduction)</t>
  </si>
  <si>
    <t>HH reporting access</t>
  </si>
  <si>
    <t>HH reporting No access</t>
  </si>
  <si>
    <t>Cross-cutting/GBV mainstreaming</t>
  </si>
  <si>
    <t>% of HHs engaging in negative coping mechanisms.</t>
  </si>
  <si>
    <t>% of girls / boys engaging in harmful activities/
% of girls / boys / women at risk of GBV (sexual violence and forced marriage / reproduction)</t>
  </si>
  <si>
    <t>Inter sectoral thresholds</t>
  </si>
  <si>
    <t>Shelter/GBV mainstreaming</t>
  </si>
  <si>
    <t>% of HHs living under critical shelter conditions</t>
  </si>
  <si>
    <t>GBV/CP</t>
  </si>
  <si>
    <t>% of HHs reported precense of (a) child marriage (MCNA) or (b) girls not attending schools, or (c ) Child labor, or (d) one member is reporting signs of distress (self-diagnosed)</t>
  </si>
  <si>
    <t>HH reported No issue</t>
  </si>
  <si>
    <t>HH reported one issue</t>
  </si>
  <si>
    <t>HH reported two issues</t>
  </si>
  <si>
    <t>HH reported more than two issues</t>
  </si>
  <si>
    <t>DTM-ILA</t>
  </si>
  <si>
    <t>Locations reporting [(a)Lack of safety in public/communal spaces for women and girls; (b)Restricted access to public services (eg. Education or healthcare); (c) Violence, harassment, or abuse; or (d) Lack of livelihood opportunities] as an issue/problem/threat affecting female  IDPs/returnees (ILA)</t>
  </si>
  <si>
    <t>No issue</t>
  </si>
  <si>
    <t>One issue</t>
  </si>
  <si>
    <t>Two issues</t>
  </si>
  <si>
    <t>&gt; 2 issues</t>
  </si>
  <si>
    <t>Locations reporting presence of female headed households</t>
  </si>
  <si>
    <t>0-9%</t>
  </si>
  <si>
    <t>10-20%</t>
  </si>
  <si>
    <t>minor change in text</t>
  </si>
  <si>
    <t>% of households with presence of child marriage</t>
  </si>
  <si>
    <t>Exists in MCNA VIII</t>
  </si>
  <si>
    <t xml:space="preserve">Protection - CP </t>
  </si>
  <si>
    <t>HH not missing  
NOT any of
(pds, info_card, id_card, nationality cert., unified ID (substituting both id card and nationality cert.) and  birth_certificate)</t>
  </si>
  <si>
    <t>HH missing =&lt;2 core documents (pds, info_card, id_card, nationality cert., unified ID (substituting both id card and nationality cert.) and  birth_certificate)</t>
  </si>
  <si>
    <t>HH missing &gt;= 3 core documents (pds, info_card, id_card, nationality cert., unified ID (substituting both id card and nationality cert.) and  birth_certificate)</t>
  </si>
  <si>
    <t>HH missing &gt;= 4 or more core documents (pds, info_card, id_card, nationality cert., unified ID (substituting both id card and nationality cert.) and  birth_certificate)</t>
  </si>
  <si>
    <t xml:space="preserve">% of HHs lacking valid HLP documentation </t>
  </si>
  <si>
    <t xml:space="preserve">HH did not report risk of eviction </t>
  </si>
  <si>
    <t xml:space="preserve">HH owns valid HLP documentation </t>
  </si>
  <si>
    <t>HH does not own valid HLP documentation</t>
  </si>
  <si>
    <t xml:space="preserve">HH has no issues with tenure/the property is not disputed </t>
  </si>
  <si>
    <t>HH has issues with tenure/the property is disputed</t>
  </si>
  <si>
    <t>HH reported fearing of eviction                 
-Lack of funds to pay rental cost
-No valid tenancy agreement
- Request to vacate from owner of the building/land
- Host family no longer able to host the family
 -Ownership of property is disputed</t>
  </si>
  <si>
    <t>HH reported risk of eviction 
-Inadequate housing/shelter condition
- Local community does not accept our family living in the area
-Authorities requested from HH to vacate the property
-Risk of property being confiscated
- Housing occupied by other groups</t>
  </si>
  <si>
    <t>% of HH with at least one child missing a key individual document</t>
  </si>
  <si>
    <t>0- 9%</t>
  </si>
  <si>
    <t>10%- 14%</t>
  </si>
  <si>
    <t>15%-19%</t>
  </si>
  <si>
    <t>20%-24%</t>
  </si>
  <si>
    <t>≤ 1 %</t>
  </si>
  <si>
    <t>2 % – 5 %</t>
  </si>
  <si>
    <t>6 % - 9 %</t>
  </si>
  <si>
    <t>10 % - 17 %</t>
  </si>
  <si>
    <t>&gt; 17 %</t>
  </si>
  <si>
    <t>&lt; 1%</t>
  </si>
  <si>
    <t>1 % - 1.4 %</t>
  </si>
  <si>
    <t>1.5 % - 2 %</t>
  </si>
  <si>
    <t>&gt; 2 %</t>
  </si>
  <si>
    <t>0 CP risk reported in the HH</t>
  </si>
  <si>
    <t>1 CP risk reported in the HH</t>
  </si>
  <si>
    <t>2 CP risk reported in the HH</t>
  </si>
  <si>
    <t>3-5 CP risk reported in the HH</t>
  </si>
  <si>
    <t>Partial (Proxy/aggregated from multi-sources)</t>
  </si>
  <si>
    <t xml:space="preserve">partial </t>
  </si>
  <si>
    <t xml:space="preserve">Partial </t>
  </si>
  <si>
    <t>partial (w/o recall and linked to food needs)</t>
  </si>
  <si>
    <t>Protection CP / EDC</t>
  </si>
  <si>
    <t>Protection CP</t>
  </si>
  <si>
    <t>Protection GBV</t>
  </si>
  <si>
    <t xml:space="preserve">Protection GBV / CP </t>
  </si>
  <si>
    <t>Protection GBV / CP</t>
  </si>
  <si>
    <t>Protection GBV / Health</t>
  </si>
  <si>
    <t xml:space="preserve">Protection GBV / Cross-cutting </t>
  </si>
  <si>
    <t xml:space="preserve">Protection GBV / SNFI </t>
  </si>
  <si>
    <t xml:space="preserve">Protection GP / MHPSS / CP / GBV </t>
  </si>
  <si>
    <t xml:space="preserve">Protection GP </t>
  </si>
  <si>
    <t>Protection HLP</t>
  </si>
  <si>
    <t>Protection MA</t>
  </si>
  <si>
    <t xml:space="preserve">JIAF Correspondent Indicator </t>
  </si>
  <si>
    <t xml:space="preserve">Iraq 2021 HNO Indicator </t>
  </si>
  <si>
    <t>TBD</t>
  </si>
  <si>
    <t xml:space="preserve">No JIAF Indicator available </t>
  </si>
  <si>
    <t xml:space="preserve">Thresholds to be revisited </t>
  </si>
  <si>
    <t xml:space="preserve">Aggregated from indicators above </t>
  </si>
  <si>
    <t xml:space="preserve">Impact on Access </t>
  </si>
  <si>
    <t xml:space="preserve">Impact on Services </t>
  </si>
  <si>
    <t>% of persons (SADD) in sites/communities reporting presence of EO without access to risk education</t>
  </si>
  <si>
    <t>Persons killed or injured by EO by community (SADD)</t>
  </si>
  <si>
    <t>MCNA VIII (+National MA Database - incomplete; iMMAP EH Incidents Db)</t>
  </si>
  <si>
    <t xml:space="preserve">To revisit thresholds and reconsider what is a critical indicator </t>
  </si>
  <si>
    <t xml:space="preserve">Not available in JIAF. We don't have a standard severity scale for this indicator as it's dependant on the % of Contamination Sqm and Incidents. We don't recommend using it in inter-sectoral analysis. </t>
  </si>
  <si>
    <t xml:space="preserve">thresholds to be adjusted as this is not covering disability </t>
  </si>
  <si>
    <t xml:space="preserve">Is data available at district level and possible to calcualte by the JIAF thresholds? </t>
  </si>
  <si>
    <t>WORKING DRAFT 30 August (compiled based on cluster inputs)</t>
  </si>
  <si>
    <t xml:space="preserve">CP composite indicator
"HH indicating child protection issues"  [Options: 
1) HH with at least one children out of formal AND Informal learning. 2) % of HH reporting children with psychosocial distress (proxy data with behaviour change) 3) % of children missing a key individual  documentation 4) Child Marriage 5) Child Labor]" 		
</t>
  </si>
  <si>
    <t>Yes (binary)</t>
  </si>
  <si>
    <t xml:space="preserve">same </t>
  </si>
  <si>
    <t xml:space="preserve">adjusted </t>
  </si>
  <si>
    <t>% of household members with disability  ("lots of difficulty" or "cannot do at all" one of the following activities: seeing, hearing, walking/climbing steps, remembering/concerntrating, self-care, communicating)</t>
  </si>
  <si>
    <t xml:space="preserve">new </t>
  </si>
  <si>
    <t>% HHs reporting risk of eviction</t>
  </si>
  <si>
    <t>Should be fine</t>
  </si>
  <si>
    <t>Since we're asking about secondary and primary school separately I would have to know if the thresholds are referring to access to any type of school or only if schools for both levels can be accessed. E.g. If there's a primary school within 2km but no secondary school, would the HH still be assigned a score of 1?</t>
  </si>
  <si>
    <t xml:space="preserve">The cluster obviously has the expert knowledge on these figures, but in last year's MCNA, the average share of food expenditure for returnees was 41% and for out-of camp IDPs it was 37%, so we might want to consider adjusting the thresholds a bit to reflect this distribution. </t>
  </si>
  <si>
    <t>Looks fine</t>
  </si>
  <si>
    <t>We should change this to a HH-level indicator and make the thresholds applicable at the HH-level. E.g. HH can access primary healthcare within a 15min walk from dwellings --&gt; 1        HH can access primary healthcare within a 15-30min walk from dwellings ---&gt; 2</t>
  </si>
  <si>
    <t>I would recommend aligning the thresholds and indicator with those from the education cluster. If not, I'd have to know if the percentages are referring to the % of children in a HH or if they're intending to construct this as an area-level indicator (i.e. % of children in a district")</t>
  </si>
  <si>
    <t>We don't have this indicator in the MCNA. The indicator that we have in the MCNA is "% of children under 18 currently not residing in the HH" and then a follow-up indicator "% of HHs with children under 18 currently not residing in the HH, by protection incident". The list of incidents includes: Married and left the house, left the house to seek employment, left the house to study, arbitrarily detained, kidnapped/abducted......
Also, the thresholds again don't really make sense here. What we could do is to have some sort of composite thresholds where we combine the first indicator mentioned above in conjunction with the reason for why the children aren't residing in the HH. e.g. If a child is missing because they've been kidnapped or because they're missing ---&gt; 5   if a child is missing because they married or left the house to study ---&gt; 2   if no child missing --&gt; 1</t>
  </si>
  <si>
    <t xml:space="preserve">Again, I think there's some misudnerstanding about the thresholds here. This should probably again be a binary indicator where if there's a presence of child marriege within a HH that HH gets assigned a score of 3 and otherwise 1 (and maybe then making the distinction with the number or percentage of children within a HH being married) </t>
  </si>
  <si>
    <t xml:space="preserve">Again, thesholds need to be applicable at the HH-level. We're asking about the number of children showing signs of distress, so we could technically still construct percentage-based thresholds here. </t>
  </si>
  <si>
    <t>This indicator is not included in the MCNA. We're only reporting on "% of women with access to specialized reproductive health services"</t>
  </si>
  <si>
    <t>Looks fine form a technical perspective, but I don't really see the connection to GBV here</t>
  </si>
  <si>
    <t>Missing thresholds</t>
  </si>
  <si>
    <t>Seems fine</t>
  </si>
  <si>
    <t>Thresholds to be revisited and aligned with EDC.</t>
  </si>
  <si>
    <t xml:space="preserve">CP SC to confirm/infirm use of this indicator. </t>
  </si>
  <si>
    <t xml:space="preserve">Not used for severity by cluster; may not need thresholds </t>
  </si>
  <si>
    <t xml:space="preserve">To revisit thresholds; reconsider what is a critical indicator; and revisit categorization of the sub-pillar </t>
  </si>
  <si>
    <t xml:space="preserve">vs. 2020 HNO </t>
  </si>
  <si>
    <t xml:space="preserve">No related JIAF indicator </t>
  </si>
  <si>
    <t>#7: % of the population identified as having disabilities (in line with the Washington Group Questions)</t>
  </si>
  <si>
    <t xml:space="preserve">Shelter / NFI </t>
  </si>
  <si>
    <t>Indicator type</t>
  </si>
  <si>
    <t>1
None / Minimal</t>
  </si>
  <si>
    <t>2
Stress</t>
  </si>
  <si>
    <t>3
Severe</t>
  </si>
  <si>
    <t>4
Extreme</t>
  </si>
  <si>
    <t>5
Catastrophic</t>
  </si>
  <si>
    <t>Comments</t>
  </si>
  <si>
    <t>No improvements needed</t>
  </si>
  <si>
    <t>Other</t>
  </si>
  <si>
    <t>Improve privacy and dignity (no separate rooms, not enough space, shared facilities such as toilets &amp; showers, low/high ceilings, lack of ventilation, lack of natural lighting)
Protect from climatic conditions (leaking roof, floor not insulated, opening on the walls, broken windows, lack of ventilation, missing heating system, etc.) 
Other</t>
  </si>
  <si>
    <t>Protection from hazards (contamination from explosive remnants of war, land at risk of flooding or landslides, solid waste dumping site, fire risks, etc.)
Improve safety and security (shelter located in an insecure/ isolated area, shelter not solid enough to offer protection from intruders, not fenced, etc.)</t>
  </si>
  <si>
    <t>Shelter conditions being not so alerming in country, there is no categorisation in the catastrophic threshold.
Core responses indicated above determine the respective threshold.</t>
  </si>
  <si>
    <t>Area: Very few (&lt;5%) of HHs is living in unfinished buildings, collective centres, organized camps, informal settlements, open areas.</t>
  </si>
  <si>
    <t>Area: 5% to 10% of HHs live in unfinished buildings, collective centres, organized camps, informal settlements, open areas</t>
  </si>
  <si>
    <t>Area: Over 10% to 30% of HHs live in unfinished buildings, collective centres, organized camps, informal settlements, open areas</t>
  </si>
  <si>
    <t>Area: Over 30% to 50% of HHs live in unfinished buildings, collective centres, organized camps, informal settlements, open areas</t>
  </si>
  <si>
    <t>Area: Over 50% of HHs live in unfinished buildings, collective centres, organized camps, informal settlements, open areas</t>
  </si>
  <si>
    <t>Lowered percentage compared to JIAF. 
The shelter situation in country is not as severe as layed out in the initial JIAF thresholds.</t>
  </si>
  <si>
    <t>List of SNFI HH and KI Indicators</t>
  </si>
  <si>
    <t>Indicator</t>
  </si>
  <si>
    <t>Question</t>
  </si>
  <si>
    <t>Answer Choices</t>
  </si>
  <si>
    <t>HH-level MCNA indicator?</t>
  </si>
  <si>
    <t>HH-level indicator</t>
  </si>
  <si>
    <t>Data Source</t>
  </si>
  <si>
    <t>KI / Individual</t>
  </si>
  <si>
    <t>% of IDPs/returnees by shelter type</t>
  </si>
  <si>
    <t>What is the number of IDP/returnee families currently living in these shelter categories?</t>
  </si>
  <si>
    <r>
      <rPr>
        <b/>
        <sz val="11"/>
        <rFont val="Arial"/>
        <family val="2"/>
      </rPr>
      <t>For all groups:</t>
    </r>
    <r>
      <rPr>
        <sz val="11"/>
        <rFont val="Arial"/>
        <family val="2"/>
      </rPr>
      <t xml:space="preserve">
Religious building
Unfinished/abandoned buildings 
Sub-standard shelter not for residential purposes/Non-residential structure (garage, farm house, shop, etc.)
School building
Informal or irregular settlement **
**  This has a sub-category collected only for sites with 15 Hh or more:
        Tent
         Caravan/RHU
         Makeshift shelter (with scavenged materials)
Host family
Hotel/motel or short-term rental
Other types of collective shelter
Other
Unknown
</t>
    </r>
    <r>
      <rPr>
        <b/>
        <sz val="11"/>
        <rFont val="Arial"/>
        <family val="2"/>
      </rPr>
      <t>Only for IDPs:</t>
    </r>
    <r>
      <rPr>
        <sz val="11"/>
        <rFont val="Arial"/>
        <family val="2"/>
      </rPr>
      <t xml:space="preserve">
Rental - good condition (ok for living inside)
Rental - damaged/destroyed (not ok for living inside)
Own property
Camp
</t>
    </r>
    <r>
      <rPr>
        <b/>
        <sz val="11"/>
        <rFont val="Arial"/>
        <family val="2"/>
      </rPr>
      <t>Only for returnees:</t>
    </r>
    <r>
      <rPr>
        <sz val="11"/>
        <rFont val="Arial"/>
        <family val="2"/>
      </rPr>
      <t xml:space="preserve">
Habitual residence - good condition (ok for living inside)
Habitual residence - damaged/destroyed (not ok for living inside)</t>
    </r>
  </si>
  <si>
    <t>% of people living under critical shelter conditions</t>
  </si>
  <si>
    <t>% of IDPs/returnees reportedly living in critical shelter conditions</t>
  </si>
  <si>
    <t>KI / Location</t>
  </si>
  <si>
    <t>% of locations in which more than 50% of IDPs/returnees are reportedly living under critical shelter conditions</t>
  </si>
  <si>
    <t>% of locations reporting [type of problem] as the main problem associated with shelter in their location</t>
  </si>
  <si>
    <t>Are there any problems associated with shelter/housing for IDPs/returnees in the location?
If yes, what is the main problem (for IDPs/returnees) associated with shelter/housing?</t>
  </si>
  <si>
    <t>No problem
Quantity (insufficient houses so there is overcrowding) 
Quality (infrastructure is poor, not durable, not adequate) 
Price (rent is too expensive)
Unequal access (some or all* IDPs/returnees are prevented from renting even if housing available*)
Rent assistance (lack of or inadequate)
Eviction (IDPs/returnees are being evicted/at risk of eviction)</t>
  </si>
  <si>
    <t>% of locations reporting [type of problem] as the main problem associated with NFI in their location</t>
  </si>
  <si>
    <t>Are there any problems associated with NFIs for IDPs/returnees in the location? 
If yes, what is the main problem (for IDPs/returnees) associated with NFIs?</t>
  </si>
  <si>
    <t xml:space="preserve">No problem
Quantity (insufficient, inconsistent or sporadic supply)
Quality (poor quality)
Difficult access (market too far, insecure roads, no money for transportation)
Price (too expensive)
Unequal access (some or all IDPs*/returnees are prevented from accessing NFIs even if available) </t>
  </si>
  <si>
    <t>SNFI, WASH, Livelihoods</t>
  </si>
  <si>
    <t>% of locations reporting a loss of access to vital household NFIs in the past 30 days</t>
  </si>
  <si>
    <t>In the last 30 days, did any items become unavailable in your location (for any reason)? (select multiple)</t>
  </si>
  <si>
    <t>Bedding items (bedsheets, pillows) 
Mattresses/sleeping mats
Blankets
Cooking utensils
Cooking stove
Clothing
Fuel (Cooking / Heating)
Hygiene items (soap, feminine hygiene products, diapers, toothpaste/brush) 
Over the counter medicine
Do not know 
other
no shortages
PPE (masks, gloves, etc)</t>
  </si>
  <si>
    <t>Partial alignment</t>
  </si>
  <si>
    <t>% of HHs needing basic NFI items</t>
  </si>
  <si>
    <t>What, if any, are the most common shelter improvements needed by the majority of IDP/returnee households living in this location?
NOTE: selected issues must be present in at least 50% of shelters in the location</t>
  </si>
  <si>
    <t xml:space="preserve">None 
Protection from hazards (contamination from explosive remnants of war, land at risk of flooding or landslides, solid waste dumping site, fire risks, etc.)
Improve safety and security (shelter located in an insecure/ isolated area, shelter not solid enough to offer protection from intruders, not fenced, etc.)
Improve privacy and dignity (no separate rooms, not enough space, shared facilities such as toilets &amp; showers, low/high ceilings, lack of ventilation, lack of natural lighting)
Protect from climatic conditions (leaking roof, floor not insulated, opening on the walls, broken windows, lack of ventilation, missing heating system, etc.) 
Do not know </t>
  </si>
  <si>
    <t>HH</t>
  </si>
  <si>
    <r>
      <t xml:space="preserve">What type of shelter is the household currently living in? (observation by enumerator)   </t>
    </r>
    <r>
      <rPr>
        <b/>
        <sz val="10"/>
        <rFont val="Arial"/>
        <family val="2"/>
      </rPr>
      <t>--  face-to-face data collection</t>
    </r>
    <r>
      <rPr>
        <sz val="10"/>
        <rFont val="Arial"/>
        <family val="2"/>
      </rPr>
      <t xml:space="preserve">
Could you describe the type of shelter that your household is currently living in?  </t>
    </r>
    <r>
      <rPr>
        <b/>
        <sz val="10"/>
        <rFont val="Arial"/>
        <family val="2"/>
      </rPr>
      <t>--  remote phone-based data collection</t>
    </r>
    <r>
      <rPr>
        <sz val="10"/>
        <rFont val="Arial"/>
        <family val="2"/>
      </rPr>
      <t xml:space="preserve">
</t>
    </r>
  </si>
  <si>
    <r>
      <t>What are your priority needs to make your current shelter a better place to live (</t>
    </r>
    <r>
      <rPr>
        <sz val="10"/>
        <rFont val="Arial"/>
        <family val="2"/>
      </rPr>
      <t>top 2)?</t>
    </r>
  </si>
  <si>
    <t>% of HHs with access to a safe and healthy housing enclosure unit</t>
  </si>
  <si>
    <t>Does the shelter have any of the following enclosure issues?</t>
  </si>
  <si>
    <t>#100: % or HHs currently living in unsustainable shelter situations</t>
  </si>
  <si>
    <t xml:space="preserve">#96: % of HH whose dwelling enclosure provides adequate security, privacy, and maintains possessions </t>
  </si>
  <si>
    <t>% children attending formal or informal education regularly (at least 4 days a week) prior to the COVID-19 outbreak</t>
  </si>
  <si>
    <r>
      <t xml:space="preserve">If yes, how many persons </t>
    </r>
    <r>
      <rPr>
        <i/>
        <sz val="8"/>
        <rFont val="Arial"/>
        <family val="2"/>
      </rPr>
      <t>under/over</t>
    </r>
    <r>
      <rPr>
        <sz val="8"/>
        <rFont val="Arial"/>
        <family val="2"/>
      </rPr>
      <t xml:space="preserve"> 18 years showed those signs?</t>
    </r>
  </si>
  <si>
    <t>INDICATORS</t>
  </si>
  <si>
    <t xml:space="preserve">Cluster / Indicator Owner </t>
  </si>
  <si>
    <t xml:space="preserve">OCHA </t>
  </si>
  <si>
    <t xml:space="preserve">REACH </t>
  </si>
  <si>
    <t xml:space="preserve">DTM </t>
  </si>
  <si>
    <t xml:space="preserve">Observations &amp; Feedback </t>
  </si>
  <si>
    <t>SNFI comment: Shelter conditions being not so alerming in country, there is no categorisation in the catastrophic threshold.
Core responses indicated above determine the respective threshold.</t>
  </si>
  <si>
    <t>Education, Protection CP</t>
  </si>
  <si>
    <t>#10: % children not attending school by sex and school-level (as a result of the crisis)</t>
  </si>
  <si>
    <t xml:space="preserve">#23: Lilveihoods Coping Strategy </t>
  </si>
  <si>
    <t xml:space="preserve">#30: Food Consumption Score </t>
  </si>
  <si>
    <t>#74: % of HH reporting incidents of threaths of eviction</t>
  </si>
  <si>
    <t>same</t>
  </si>
  <si>
    <t>Frameworks</t>
  </si>
  <si>
    <t xml:space="preserve">HNO 2020 (#8) </t>
  </si>
  <si>
    <t xml:space="preserve">HNO 2020 (#2);
 JIAF #7 </t>
  </si>
  <si>
    <r>
      <t xml:space="preserve">HH receiving assistance in last 30 days is satisfied with
 timeliness, quality, relevance and humanitarian workers behaviours
 HH is not satisfied with </t>
    </r>
    <r>
      <rPr>
        <b/>
        <sz val="8"/>
        <color theme="0"/>
        <rFont val="Arial"/>
        <family val="2"/>
      </rPr>
      <t>Quantity</t>
    </r>
  </si>
  <si>
    <r>
      <t xml:space="preserve">HH receiving assistance in last 30 days is satisfied with timeliness, relevance and humanitarian workers behaviour
 HH is not satisfied with </t>
    </r>
    <r>
      <rPr>
        <b/>
        <sz val="8"/>
        <color theme="0"/>
        <rFont val="Arial"/>
        <family val="2"/>
      </rPr>
      <t>quality</t>
    </r>
    <r>
      <rPr>
        <sz val="8"/>
        <color theme="0"/>
        <rFont val="Arial"/>
        <family val="2"/>
      </rPr>
      <t xml:space="preserve"> </t>
    </r>
  </si>
  <si>
    <r>
      <t xml:space="preserve">HH receiving assistance in last 30 days is satisfied with humanitarian workers behaviour
 HH is not satisfied with </t>
    </r>
    <r>
      <rPr>
        <b/>
        <sz val="8"/>
        <color theme="0"/>
        <rFont val="Arial"/>
        <family val="2"/>
      </rPr>
      <t>timeliness</t>
    </r>
  </si>
  <si>
    <t xml:space="preserve">HNO 2020 (#9); 
 JIAF #10 </t>
  </si>
  <si>
    <t>HNO 2020 (#13)</t>
  </si>
  <si>
    <t>HNO 2020 (#14)</t>
  </si>
  <si>
    <t>HNO 2020 (#15)</t>
  </si>
  <si>
    <t>HNO 2020 (#11, #12); 
JIAF #39</t>
  </si>
  <si>
    <t>adjusted</t>
  </si>
  <si>
    <t>HNO 2020 (#16);
 JIAF #70</t>
  </si>
  <si>
    <t>HNO 2020 (#17);
JIAF #87</t>
  </si>
  <si>
    <t>QUESTIONNAIRE</t>
  </si>
  <si>
    <t xml:space="preserve">HNO 2020 (#7); 
JIAF 81 </t>
  </si>
  <si>
    <t xml:space="preserve">HNO 2020 (#18);
 JIAF 74 </t>
  </si>
  <si>
    <t xml:space="preserve">HNO 2020 (#5);
 JIAF #100 </t>
  </si>
  <si>
    <t xml:space="preserve">HNO 2020 (#4);
JIAF #96 </t>
  </si>
  <si>
    <t xml:space="preserve">HNO 2020 (#19); 
JIAF #112 </t>
  </si>
  <si>
    <t xml:space="preserve">HNO 2020 (#20); 
JIAF #113 </t>
  </si>
  <si>
    <t xml:space="preserve">ALIGNMENT &amp; USE </t>
  </si>
  <si>
    <t>HNO 2020 (#10);
JIAF #30</t>
  </si>
  <si>
    <t>#39: Percentage of population that can access primary healthcare within one hour’s walk from dwellings</t>
  </si>
  <si>
    <t>#24: Food Expenditure Share</t>
  </si>
  <si>
    <t>JIAF #24</t>
  </si>
  <si>
    <t>Cross-Cutting (disability)</t>
  </si>
  <si>
    <t>.</t>
  </si>
  <si>
    <t>Protection - GBV, CP</t>
  </si>
  <si>
    <t xml:space="preserve">Used for Iraq PIN/Sev </t>
  </si>
  <si>
    <t xml:space="preserve">Scale </t>
  </si>
  <si>
    <t>Access to improved sanitation facilities, not shared with other households</t>
  </si>
  <si>
    <t>Access to improved sanitation facilities, shared with less than 20 people</t>
  </si>
  <si>
    <t>Access to improved sanitation facilities, shared with more than 20 people</t>
  </si>
  <si>
    <t>Access to unimproved facilities OR access to improved facilities shared with more than 50 people</t>
  </si>
  <si>
    <t>Disposal of human faeces in open spaces or with solid waste</t>
  </si>
  <si>
    <t>Soap is available at home AND handwashing facility is on premises with soap and water available</t>
  </si>
  <si>
    <t>Soap is available at home BUT no handwashing facility on premises with soap and water</t>
  </si>
  <si>
    <t>Soap is not available at home</t>
  </si>
  <si>
    <t>All hygiene items are available at home</t>
  </si>
  <si>
    <t>Some hygiene items are available at home</t>
  </si>
  <si>
    <t>Hygiene items are not available at home</t>
  </si>
  <si>
    <t>This is new cluster indicator, linked to availability of hygiene items bse of COVID and generate data WASH- Market based programming.</t>
  </si>
  <si>
    <t>#113: % of HHs having access to water sources of sufficient quality and availability</t>
  </si>
  <si>
    <t>#112: % of HHs having access to a sufficient quantity of water for drinking, cooking, bathing, washing or other domestic use</t>
  </si>
  <si>
    <t>#111: % of HHs having sufficient access to a functionnal and improved sanitation facility</t>
  </si>
  <si>
    <t>In JIAF it is WB and not LS. To revisit thresholds; reconsider what is a critical indicator.</t>
  </si>
  <si>
    <t>#109: % of HHs having access to sufficient handwashing facilities</t>
  </si>
  <si>
    <t xml:space="preserve">FSC, ELC, Cross-cutting </t>
  </si>
  <si>
    <t xml:space="preserve">ELC </t>
  </si>
  <si>
    <t xml:space="preserve">    HNO 2020 (#10; #1); 
JIAF #23; 
JIAF #86     </t>
  </si>
  <si>
    <t>Cross-cutting (disability), Protection MA,
Health</t>
  </si>
  <si>
    <t xml:space="preserve">As JIAF does not make provisions for thresholds for WGQ collected at household level, OCHA and REACH, together with Health, Handicap Intl, Protection and others interested to discuss thresholds. 
REACH proposed thresholds in combination with indicator "% HH with members unable to access one or more services due to disability" below. </t>
  </si>
  <si>
    <t xml:space="preserve">requires thresholds or combine with the above </t>
  </si>
  <si>
    <t xml:space="preserve">CP and EDC to align/agree on thresholds. </t>
  </si>
  <si>
    <t xml:space="preserve">Not used by ELC cluster for PIN/severity. To keep or remove? Does it add value?  </t>
  </si>
  <si>
    <t>Lilveihoods Coping Strategy (LCS)</t>
  </si>
  <si>
    <t>Food Expenditure share (FES)</t>
  </si>
  <si>
    <t>Food Consumption Score (FCS)</t>
  </si>
  <si>
    <t xml:space="preserve">FSC to clarify how to distinguish between categories 1 and 2 and how to understand/determine "deterioration" in the FCS. </t>
  </si>
  <si>
    <t xml:space="preserve">Indicator is often used in conjunction with other indicators to understand vulnerability. In light of COVID-19, OCHA-REACH-DTM recommend including it for vulnerability.  Possible to combine with other deomgraphic indicator - e.g. Age &gt;65.  
Health cluster to confirm use and work with REACH and OCHA on thresholds.  </t>
  </si>
  <si>
    <t xml:space="preserve">Protection HLP, Shelter </t>
  </si>
  <si>
    <t>#73: % of HHs with housing / shelter damaged or destroyed due to violence, conflict or natural hazards</t>
  </si>
  <si>
    <t>Protection HLP, SNFI</t>
  </si>
  <si>
    <t xml:space="preserve">Suggestion to add an additional indicator on shelter damage at area level. To keep? </t>
  </si>
  <si>
    <t xml:space="preserve">FOR AWG-IMWG  CONSIDERATION AND DECISION-MAKING  </t>
  </si>
  <si>
    <t xml:space="preserve">REACH to support the design of the threshold for the disability indicator. </t>
  </si>
  <si>
    <t xml:space="preserve">The exact wording of the MCNA indicator is "% of children dropping out of school in the previous school year"
Note: We've seen some very high numbers in the dataset for this indicator as (according to our field teams) many parents have taken their kids out of school prior to covid-imposed school clsoures out of fear from a possible infection. Although we're always pointing out that we're referring to pre-covid dropouts, some respondents might still misunderstand the question and include the children that have dropped out of school due to school closures. </t>
  </si>
  <si>
    <t>Upon advice from the global health cluster we've removed this indicator from the MCNA.</t>
  </si>
  <si>
    <t>Not sure what the percentages are referring to here. I think there's some misunderstanding about the thresholds being applicable at the district rather than at the HH-level. 
In my opinion we should keep this a binary indicator (or maybe with three scales) saying that if there's a child in the HH working that HH would get assigned a severity score of 3 and otherwise 1. Or 4 if there's more than 1 child in that HH working.</t>
  </si>
  <si>
    <t xml:space="preserve">We can't report on those thresholds with the MCNA data. We're asking if the HH has experienced different types of restrictions in the past 30 days. Not to inflate the numbers with covid restrictions, we're asking a follow-up question if those restrictions have been entirely related to covid-19 restrictions or not. Although we're able to filter covid restrictions out, I still don't think that it's a good proxy for freedom of movement because people have probably tended to leave their houses less frequently lately. I would thus probably discourage the cluster from using this indicator. </t>
  </si>
  <si>
    <t>Thresholds need to be adjusted to be applicable at the HH-level</t>
  </si>
  <si>
    <t>thresholds adjusted as per GBV-REACH consultation on distribution of data.</t>
  </si>
  <si>
    <t>No areas avoided by women or girls</t>
  </si>
  <si>
    <t xml:space="preserve">One area avoided by women or girls </t>
  </si>
  <si>
    <t>More than one area avoided by women or girls</t>
  </si>
  <si>
    <t xml:space="preserve">potential </t>
  </si>
  <si>
    <r>
      <rPr>
        <b/>
        <sz val="8"/>
        <color theme="5" tint="-0.249977111117893"/>
        <rFont val="Arial"/>
        <family val="2"/>
      </rPr>
      <t xml:space="preserve">GUIDANCE </t>
    </r>
    <r>
      <rPr>
        <sz val="8"/>
        <color theme="1"/>
        <rFont val="Arial"/>
        <family val="2"/>
      </rPr>
      <t xml:space="preserve"> for </t>
    </r>
    <r>
      <rPr>
        <u/>
        <sz val="8"/>
        <color theme="1"/>
        <rFont val="Arial"/>
        <family val="2"/>
      </rPr>
      <t>Clusters</t>
    </r>
    <r>
      <rPr>
        <sz val="8"/>
        <color theme="1"/>
        <rFont val="Arial"/>
        <family val="2"/>
      </rPr>
      <t xml:space="preserve"> for the revision and selection of the cluster PIN and severity indicators. 
</t>
    </r>
    <r>
      <rPr>
        <b/>
        <sz val="8"/>
        <color rgb="FFC00000"/>
        <rFont val="Arial"/>
        <family val="2"/>
      </rPr>
      <t>DEADLINE</t>
    </r>
    <r>
      <rPr>
        <sz val="8"/>
        <color theme="1"/>
        <rFont val="Arial"/>
        <family val="2"/>
      </rPr>
      <t xml:space="preserve">:  26 August 2020
</t>
    </r>
    <r>
      <rPr>
        <b/>
        <sz val="8"/>
        <color theme="1"/>
        <rFont val="Arial"/>
        <family val="2"/>
      </rPr>
      <t xml:space="preserve">1)	</t>
    </r>
    <r>
      <rPr>
        <sz val="8"/>
        <color theme="1"/>
        <rFont val="Arial"/>
        <family val="2"/>
      </rPr>
      <t xml:space="preserve">Consult MCNA VIII list of indicators and review what is useful for the cluster analysis 
</t>
    </r>
    <r>
      <rPr>
        <b/>
        <sz val="8"/>
        <color theme="1"/>
        <rFont val="Arial"/>
        <family val="2"/>
      </rPr>
      <t xml:space="preserve">2)	</t>
    </r>
    <r>
      <rPr>
        <sz val="8"/>
        <color theme="1"/>
        <rFont val="Arial"/>
        <family val="2"/>
      </rPr>
      <t xml:space="preserve">Consult ILA V list of indicators  and review what is useful for the cluster analysis 
</t>
    </r>
    <r>
      <rPr>
        <b/>
        <sz val="8"/>
        <color theme="1"/>
        <rFont val="Arial"/>
        <family val="2"/>
      </rPr>
      <t xml:space="preserve">3)	</t>
    </r>
    <r>
      <rPr>
        <sz val="8"/>
        <color theme="1"/>
        <rFont val="Arial"/>
        <family val="2"/>
      </rPr>
      <t xml:space="preserve">Consult cluster datasets (if available) and identify relevant indicators for the cluster analysis (e.g. # Number of HF with Basic Emergency Obstetric Care/ 500,000 population, by administrative unit in UNFPA datasets; enrollment rates with DOH) 
</t>
    </r>
    <r>
      <rPr>
        <u/>
        <sz val="8"/>
        <color theme="1"/>
        <rFont val="Arial"/>
        <family val="2"/>
      </rPr>
      <t>Note</t>
    </r>
    <r>
      <rPr>
        <sz val="8"/>
        <color theme="1"/>
        <rFont val="Arial"/>
        <family val="2"/>
      </rPr>
      <t xml:space="preserve">: At this stage, one cluster could have as many as 20 indicators. 
</t>
    </r>
    <r>
      <rPr>
        <b/>
        <sz val="8"/>
        <color theme="1"/>
        <rFont val="Arial"/>
        <family val="2"/>
      </rPr>
      <t xml:space="preserve">4)	</t>
    </r>
    <r>
      <rPr>
        <sz val="8"/>
        <color theme="1"/>
        <rFont val="Arial"/>
        <family val="2"/>
      </rPr>
      <t xml:space="preserve">For each indicator verify and note whether it is available in JIAF and whether the severity thresholds proposed in JIAF are applicable to Iraq (in columne E note: full allignment - if indicator and thresholds is th same; partial alignment - if a similar indicator or similar thresholds is available among the cluster-seected ones; no alignment - if selected cluster indicator is not available in JIAF or other thresholds are used). for any notes/explanations, please use column O. 
</t>
    </r>
    <r>
      <rPr>
        <b/>
        <sz val="8"/>
        <color theme="1"/>
        <rFont val="Arial"/>
        <family val="2"/>
      </rPr>
      <t xml:space="preserve">5)	</t>
    </r>
    <r>
      <rPr>
        <sz val="8"/>
        <color theme="1"/>
        <rFont val="Arial"/>
        <family val="2"/>
      </rPr>
      <t xml:space="preserve">For each indicator, verify that the indicator selected will have data disaggregated by (a) district level, (b) population group, (c) data by sex, age categories, disability status as much as feasible and (d) that you can have severity thresholds organized along a 5 point scale and at a minimum a 3 point scale (aligned with JIAF severity scale definitions). Please add this analysis in the relevant cluster sheet from 3.1 to 3.8.  
</t>
    </r>
    <r>
      <rPr>
        <u/>
        <sz val="8"/>
        <color theme="1"/>
        <rFont val="Arial"/>
        <family val="2"/>
      </rPr>
      <t>Note</t>
    </r>
    <r>
      <rPr>
        <sz val="8"/>
        <color theme="1"/>
        <rFont val="Arial"/>
        <family val="2"/>
      </rPr>
      <t xml:space="preserve">: Not all indicators and severity thresholds suggested in the global reference tables have been fully tested in the context of inter-sectoral aggregation. Contextualizing for Iraq is possible and may even be required. 
</t>
    </r>
    <r>
      <rPr>
        <b/>
        <sz val="8"/>
        <color theme="1"/>
        <rFont val="Arial"/>
        <family val="2"/>
      </rPr>
      <t xml:space="preserve">6)	</t>
    </r>
    <r>
      <rPr>
        <sz val="8"/>
        <color theme="1"/>
        <rFont val="Arial"/>
        <family val="2"/>
      </rPr>
      <t xml:space="preserve">Based on steps 4 and 5, decide whether to keep or discard the indicator for the 2021 HNO PIN and severity analysis. To support you in the decision, considering other criteria such  uniqueness, simplicity, etc.  
</t>
    </r>
    <r>
      <rPr>
        <u/>
        <sz val="8"/>
        <color theme="1"/>
        <rFont val="Arial"/>
        <family val="2"/>
      </rPr>
      <t>Note</t>
    </r>
    <r>
      <rPr>
        <sz val="8"/>
        <color theme="1"/>
        <rFont val="Arial"/>
        <family val="2"/>
      </rPr>
      <t xml:space="preserve">: At this stage a cluster may end up with 2-6 indicators. 
</t>
    </r>
    <r>
      <rPr>
        <b/>
        <sz val="8"/>
        <color theme="1"/>
        <rFont val="Arial"/>
        <family val="2"/>
      </rPr>
      <t xml:space="preserve">7)	</t>
    </r>
    <r>
      <rPr>
        <sz val="8"/>
        <color theme="1"/>
        <rFont val="Arial"/>
        <family val="2"/>
      </rPr>
      <t xml:space="preserve">Once you agree on the indicators used for analysis, please include the final cluster PIN/severity indicators and thresholds here in tab 3. Cluster_PIN_Sev. Please also indicate here if the indicator is a ‘critical indicator’ (JIAF section 4.1.6) and if the indicator should be considered for the inter-sectoral analysis – being constructed in tab 2. Intercluster_PIN_Sev.  </t>
    </r>
    <r>
      <rPr>
        <u/>
        <sz val="8"/>
        <color theme="1"/>
        <rFont val="Arial"/>
        <family val="2"/>
      </rPr>
      <t>Note</t>
    </r>
    <r>
      <rPr>
        <sz val="8"/>
        <color theme="1"/>
        <rFont val="Arial"/>
        <family val="2"/>
      </rPr>
      <t xml:space="preserve">: It is possible and acceptable that a cluster does not have "critical" indicator in this list. </t>
    </r>
  </si>
  <si>
    <t xml:space="preserve">CLUSTER SEVERITY/PIN INDICATORS FOR 2021 HNO </t>
  </si>
  <si>
    <r>
      <t xml:space="preserve">Considered for </t>
    </r>
    <r>
      <rPr>
        <b/>
        <u/>
        <sz val="8"/>
        <color theme="0"/>
        <rFont val="Arial"/>
        <family val="2"/>
      </rPr>
      <t>cluster</t>
    </r>
    <r>
      <rPr>
        <b/>
        <sz val="8"/>
        <color theme="0"/>
        <rFont val="Arial"/>
        <family val="2"/>
      </rPr>
      <t xml:space="preserve"> PIN/Sev </t>
    </r>
  </si>
  <si>
    <r>
      <t xml:space="preserve">Considered for </t>
    </r>
    <r>
      <rPr>
        <b/>
        <u/>
        <sz val="8"/>
        <color theme="0"/>
        <rFont val="Arial"/>
        <family val="2"/>
      </rPr>
      <t>inter-cluster</t>
    </r>
    <r>
      <rPr>
        <b/>
        <sz val="8"/>
        <color theme="0"/>
        <rFont val="Arial"/>
        <family val="2"/>
      </rPr>
      <t xml:space="preserve"> PIN/Sev</t>
    </r>
  </si>
  <si>
    <t>Consider changing the wording of the indicator here.</t>
  </si>
  <si>
    <t xml:space="preserve">Indicator comment: not asking about info card. Protection to fix thresholds. 
General comment: Protection section could be strengthened by adding 1-2 indicators if available.    </t>
  </si>
  <si>
    <r>
      <t>% HH with</t>
    </r>
    <r>
      <rPr>
        <b/>
        <i/>
        <sz val="9"/>
        <rFont val="Arial"/>
        <family val="2"/>
      </rPr>
      <t xml:space="preserve"> children/adults </t>
    </r>
    <r>
      <rPr>
        <b/>
        <sz val="9"/>
        <rFont val="Arial"/>
        <family val="2"/>
      </rPr>
      <t>with psychosocial distress (proxy data with behaviour change)</t>
    </r>
  </si>
  <si>
    <r>
      <rPr>
        <b/>
        <sz val="7"/>
        <color theme="5"/>
        <rFont val="Arial"/>
        <family val="2"/>
      </rPr>
      <t>STEPS</t>
    </r>
    <r>
      <rPr>
        <sz val="7"/>
        <color theme="1"/>
        <rFont val="Arial"/>
        <family val="2"/>
      </rPr>
      <t xml:space="preserve"> for the revision and selection of the </t>
    </r>
    <r>
      <rPr>
        <u/>
        <sz val="7"/>
        <color theme="1"/>
        <rFont val="Arial"/>
        <family val="2"/>
      </rPr>
      <t>inter-cluster PIN and severity indicators</t>
    </r>
    <r>
      <rPr>
        <sz val="7"/>
        <color theme="1"/>
        <rFont val="Arial"/>
        <family val="2"/>
      </rPr>
      <t xml:space="preserve">. 
</t>
    </r>
    <r>
      <rPr>
        <b/>
        <sz val="7"/>
        <color rgb="FFC00000"/>
        <rFont val="Arial"/>
        <family val="2"/>
      </rPr>
      <t>DEADLINE</t>
    </r>
    <r>
      <rPr>
        <sz val="7"/>
        <color theme="1"/>
        <rFont val="Arial"/>
        <family val="2"/>
      </rPr>
      <t xml:space="preserve">: 31 August 2020
</t>
    </r>
    <r>
      <rPr>
        <b/>
        <sz val="7"/>
        <color theme="1"/>
        <rFont val="Arial"/>
        <family val="2"/>
      </rPr>
      <t xml:space="preserve">1)	</t>
    </r>
    <r>
      <rPr>
        <sz val="7"/>
        <color theme="1"/>
        <rFont val="Arial"/>
        <family val="2"/>
      </rPr>
      <t xml:space="preserve">OCHA, REACH and DTM to review and prepare the draft list of inter-cluster list of indicators for overall PIN and severity calculations by cob, Thursday, 27 August based on reviewing: (a) the 20 indicators used for PIN/severity calculations last year; (b) prioritiy severity indicators selected by clusters for this year; and (c) reviewing other relevant MCNA VIII/ILA V indicators. The prioritization of indicators will be done based on its qualit (a) availability of indicator and data disaggregated by district, population group and when possible SADD and disability; (b) alignment of these indicators with JIAF; (c)  This will be done by looking at the 
</t>
    </r>
    <r>
      <rPr>
        <b/>
        <sz val="7"/>
        <color theme="1"/>
        <rFont val="Arial"/>
        <family val="2"/>
      </rPr>
      <t xml:space="preserve">2)	</t>
    </r>
    <r>
      <rPr>
        <sz val="7"/>
        <color theme="1"/>
        <rFont val="Arial"/>
        <family val="2"/>
      </rPr>
      <t xml:space="preserve">OCHA to share the inter-sectoral model </t>
    </r>
    <r>
      <rPr>
        <b/>
        <u/>
        <sz val="7"/>
        <color theme="1"/>
        <rFont val="Arial"/>
        <family val="2"/>
      </rPr>
      <t>cob 27 August 2020</t>
    </r>
    <r>
      <rPr>
        <sz val="7"/>
        <color theme="1"/>
        <rFont val="Arial"/>
        <family val="2"/>
      </rPr>
      <t xml:space="preserve"> with AWG/IMWG and consult on the indicators proposed. 
</t>
    </r>
    <r>
      <rPr>
        <b/>
        <sz val="7"/>
        <color theme="1"/>
        <rFont val="Arial"/>
        <family val="2"/>
      </rPr>
      <t xml:space="preserve">3)	</t>
    </r>
    <r>
      <rPr>
        <sz val="7"/>
        <color theme="1"/>
        <rFont val="Arial"/>
        <family val="2"/>
      </rPr>
      <t>AWG/IMWG members to feed-back on the draft inter-sectoral model proposed for PIN and severity calculations by</t>
    </r>
    <r>
      <rPr>
        <b/>
        <u/>
        <sz val="7"/>
        <color theme="1"/>
        <rFont val="Arial"/>
        <family val="2"/>
      </rPr>
      <t xml:space="preserve"> cob Monday, 31 August</t>
    </r>
  </si>
  <si>
    <t>Area: Over 50% of HHs live in unfinished buildings, collective centres, organized camps, informal settlements, open areas
SNFI comment: Lowered percentage compared to JIAF. 
The shelter situation in country is not as severe as layed out in the initial JIAF thresholds.</t>
  </si>
  <si>
    <r>
      <t xml:space="preserve">(examples, </t>
    </r>
    <r>
      <rPr>
        <b/>
        <i/>
        <sz val="9"/>
        <rFont val="Arial"/>
        <family val="2"/>
      </rPr>
      <t>confirmed</t>
    </r>
    <r>
      <rPr>
        <b/>
        <i/>
        <sz val="9"/>
        <color theme="4" tint="0.59999389629810485"/>
        <rFont val="Arial"/>
        <family val="2"/>
      </rPr>
      <t>)</t>
    </r>
  </si>
  <si>
    <t>We might want to consider changing the wording of the indicator here.</t>
  </si>
  <si>
    <t xml:space="preserve"> Thresholds should be fine. 
Note: COVID-19 element added (otherwise school attendance would be 0%) and attendance changed to imply "at least 4 days" of informal/formal education per week
For CP indicator: I would recommend aligning the thresholds and indicator with those from the education cluster. If not, I'd have to know if the percentages are referring to the % of children in a HH or if they're intending to construct this as an area-level indicator (i.e. % of children in a district")</t>
  </si>
  <si>
    <t>Thresholds to be revisited and aligned with CP, who uses different thresholds</t>
  </si>
  <si>
    <t xml:space="preserve">Not entirely sure what category 5 is referring to or how this could be determined. </t>
  </si>
  <si>
    <t xml:space="preserve">For this one I'd need to know how we distinguish between categories 1 and 2 and how we identify "deterioration" in the FCS. </t>
  </si>
  <si>
    <t xml:space="preserve">There's very few respondents reporting that women felt unsafe in certain areas, so we might consider readjusting the thresholds a bit.
REACH will check data and consult with GBV on shifting a little categories / not nature. </t>
  </si>
  <si>
    <t xml:space="preserve">We're not asking about the info card. The only documents that we're looking at are:
HH-level: PDS card
Adults: Nationality certificate, ID card
Children: Nationality certificate, ID card, birth certificate
Protection section could be strengthened by adding 1-2 indicators. </t>
  </si>
  <si>
    <t xml:space="preserve"> It is binary, not having level of difficulty by disability. Response options: yes killed, yes injured, no.
Disability component of the thresholds cannot be integrated. Otherwise it looks fine to me. 
REACH to look at the data. Ok to replace with ILA/contamination. thresholds would need to be applicable at district level. Design thresholds by % locations showing incidents. </t>
  </si>
  <si>
    <t xml:space="preserve">Figures would be very low.
ILA collects infor on presence of IED, landmine, UXO etc.  Use from ILA? 
Could develop severity scale
Second indicator on concerns around UXOs </t>
  </si>
  <si>
    <t xml:space="preserve">
Thresholds need to be revisited. 
Threshold would need to be adjusted....indicator and question only looks at whether or not the water source is improved, but not at the water fetching time or the location of the water source (i.e. on premise or not). Note, question specifies water purpose (drinking). 
From technical perspective it would change the type of indicator and thresholds - cannot combine HH with location (?). There is no HH level data for each location. </t>
  </si>
  <si>
    <t xml:space="preserve">May not be sufficient to measure WASH needs.
Recommendation to include: % location relying on water trucking and combine with MCNA indicator in designing thresholds. </t>
  </si>
  <si>
    <t xml:space="preserve">
Thresholds need to be revisited. 
 Thresholds would have to be based on drinking; cooking; personal hygiene (washing or bathing); and other domestic purposes (cleaning house, floor etc), instead of the l/d/p scale</t>
  </si>
  <si>
    <t xml:space="preserve">to determine </t>
  </si>
  <si>
    <t>The wording is revised to MCNA (attached).
The issue is noted. If REACH has the chance to flag this issue to enumerators to make sure that they collect pre-covid information, that’d be helpful. In either case, for locations that have extreme drop-out ratios, we will try and cross-check with SDR, and share with cluster membership to see if the severity of any location with this indicator seems out of place.
Also, for the next year, we wonder if Chalak and Asther may get the chance to highlight these issues directly to enumerators/field teams, perhaps having a brief time to introduce EDC indicators?
There are 2 distinct questions for presence of primary and secondary school each. In order to avoid confusions and identify children’s needs, only positive (YES) responses to both questions should be considered. If one of the responses is NO (i.e. primary school exists in 2 kms but secondary school is more than 5 kms, severity score should be the corresponding 4)</t>
  </si>
  <si>
    <r>
      <rPr>
        <b/>
        <sz val="8"/>
        <color theme="1"/>
        <rFont val="Arial"/>
        <family val="2"/>
      </rPr>
      <t>Global:</t>
    </r>
    <r>
      <rPr>
        <sz val="8"/>
        <color theme="1"/>
        <rFont val="Arial"/>
        <family val="2"/>
      </rPr>
      <t xml:space="preserve"> Country-level thresholds should be amended based on the pre-crisis enrolment rate.  
</t>
    </r>
    <r>
      <rPr>
        <b/>
        <sz val="8"/>
        <color theme="1"/>
        <rFont val="Arial"/>
        <family val="2"/>
      </rPr>
      <t xml:space="preserve">National: </t>
    </r>
    <r>
      <rPr>
        <sz val="8"/>
        <color theme="1"/>
        <rFont val="Arial"/>
        <family val="2"/>
      </rPr>
      <t>There are 2 distinct questions for presence of primary and secondary school each. In order to avoid confusions and identify children’s needs, only positive (YES) responses to both questions should be considered. If one of the responses is NO (i.e. primary school exists in 2 kms but secondary school is more than 5 kms, severity score should be the corresponding 4)</t>
    </r>
  </si>
  <si>
    <t>Water comes from an improved water source AND reports they do not treat their water</t>
  </si>
  <si>
    <t>Water comes from an improved water source AND report they treat their water</t>
  </si>
  <si>
    <t xml:space="preserve">Water comes from an unimproved source AND reports treating their water
</t>
  </si>
  <si>
    <t>Water comes from an unimproved water source AND reports not treating their water</t>
  </si>
  <si>
    <t>Access to improved sanitation facilities, shared with other HHs</t>
  </si>
  <si>
    <t>Access to unimproved sanitation facilities, non shared with other households</t>
  </si>
  <si>
    <t>Access to unimproved facilities, shared with other households</t>
  </si>
  <si>
    <t>Soap is available at home AND self reports using soap for handwashing</t>
  </si>
  <si>
    <t>Soap is available at home BUT does not self report using soap for handwashing</t>
  </si>
  <si>
    <t>Very satisfied with hygiene items</t>
  </si>
  <si>
    <t>Satisfied with hygiene items</t>
  </si>
  <si>
    <t>Unsatisfied with hygiene items</t>
  </si>
  <si>
    <t>Very unsatisfied with hygiene items</t>
  </si>
  <si>
    <t>Enough water for drinking, cooking, personal hygiene and other domestic purposes</t>
  </si>
  <si>
    <t>Enough water for drinking AND cooking AND personal hygiene, BUT NOT for other domestic purposes</t>
  </si>
  <si>
    <t>Enough water for drinking AND EITHER cooking OR personal hygiene</t>
  </si>
  <si>
    <t>Enough water for drinking BUT NOT for cooking AND personal hygiene</t>
  </si>
  <si>
    <t>Not enough water for drinking</t>
  </si>
  <si>
    <t>Water quality in JIAF is combined with water availability. This is water quality related indicator linked to household water treatment.</t>
  </si>
  <si>
    <t>The inidicator is related to only types/status of sanitation facilities.</t>
  </si>
  <si>
    <t>In JIAF, the indicator is only on handwashing while ths indicator combines access to handwashing with soap availability.</t>
  </si>
  <si>
    <t>% of children dropping out of school in the previous school year</t>
  </si>
  <si>
    <r>
      <t xml:space="preserve">It is more of a response indicator measuring satisfaction with aid of thise who received aid. Use of indicator and thresholds are both problematic. 
Discuss whether to keep or not and if it remains a good proxy in the absence of other AAP/CwC </t>
    </r>
    <r>
      <rPr>
        <u/>
        <sz val="9"/>
        <color theme="1"/>
        <rFont val="Arial"/>
        <family val="2"/>
      </rPr>
      <t>severity of needs</t>
    </r>
    <r>
      <rPr>
        <sz val="9"/>
        <color theme="1"/>
        <rFont val="Arial"/>
        <family val="2"/>
      </rPr>
      <t xml:space="preserve"> indicator. Are those HH not receiving aid to be included in a more severe category?
According to JIAF, response indicators, e.g. % of the population who have received (or not received) XX, should not be included in the JIAF as they are not needs-related indicators. They can be used separately to calculate gaps in response and inform the projection of needs </t>
    </r>
  </si>
  <si>
    <r>
      <t xml:space="preserve">This is the same indicator and data as the one used last year, now categorized/renamed. Last year it was refered to as: "% HH relying on stress, crisis and emergency strategies to cope with a lack of resources to meet </t>
    </r>
    <r>
      <rPr>
        <sz val="9"/>
        <color rgb="FFFF0000"/>
        <rFont val="Arial"/>
        <family val="2"/>
      </rPr>
      <t>food</t>
    </r>
    <r>
      <rPr>
        <sz val="9"/>
        <color theme="1"/>
        <rFont val="Arial"/>
        <family val="2"/>
      </rPr>
      <t xml:space="preserve"> needs."
FSC to confirm what the criteria in severity category 5 is referring to. 
</t>
    </r>
  </si>
  <si>
    <t xml:space="preserve">Household Hunger Scale </t>
  </si>
  <si>
    <t xml:space="preserve">Remove </t>
  </si>
  <si>
    <t xml:space="preserve">Confirmed </t>
  </si>
  <si>
    <t xml:space="preserve">
WASH and REACH to refine thresholds for MCNA indicator</t>
  </si>
  <si>
    <t xml:space="preserve">Confirmed. Health Cluster to provide thresholds by Sunday noon, with REACH tehnical support. </t>
  </si>
  <si>
    <t>#26: Household Hunger Scale (HHS)</t>
  </si>
  <si>
    <t>yes (TBC)</t>
  </si>
  <si>
    <t>Remove (note: consider for impact and analysis on markets, debt, prices in conunction with CCI study)</t>
  </si>
  <si>
    <t xml:space="preserve">Needs thresholds.  </t>
  </si>
  <si>
    <t>Confirmed. Although it needs thresholds. REACH to look at data and distribution of data, and work with OCHA on potential thresholds. AAP/CwC feedback needed.</t>
  </si>
  <si>
    <t>Confirmed. GBV SC to look at ILA indicators and confirm if there is another iindicator related to , needs of female-headed households that would have to be included.  By Sunday noon.</t>
  </si>
  <si>
    <t xml:space="preserve">MA to consider if contamination / mine-related issues must be considered in the inter-sectoral model and if yes, how best to include here, considering that the "% of HH with individuals who have been injured or killed by explosive ordnance" is binary and data for "% of EO Contamination (Sqm)/EH Incidents" cannot be shared. </t>
  </si>
  <si>
    <t xml:space="preserve">Remove. SNFI and HLP note that the HH-level indicators are sufficient to measure this dimension.  </t>
  </si>
  <si>
    <t xml:space="preserve">Confirmed. Cluster is reconsidering thresholds and will send by Sunday noon </t>
  </si>
  <si>
    <t xml:space="preserve">From WASH perspective this is as relevant as quality and quanity of water. Not included in 2019/20. Include for 2020/21? </t>
  </si>
  <si>
    <t>Include or not in light of COVID-19 for 2021 HNO? 
 WASH checked 2019 data: on avg. 14% reported not having acces to soap.</t>
  </si>
  <si>
    <t xml:space="preserve">
Question whether this is  sufficient to measure WASH needs.  Area level % location relying on water trucking and combine with MCNA indicator in designing thresholds - not required by the cluster for the inter-sectoral model.</t>
  </si>
  <si>
    <t>Idicator is not used by MASC for PIN/severity. Also, numbers would be very low. Indicator is binary, not having level of difficulty by disability. Response options: yes killed, yes injured, no.  
ILA collects info on presence of IED, landmine, UXO etc.  and a severity scale could be developed.  Thresholds would need to be applicable at district level. 
MASC to advise on using MCNA or ILA indicator for inter-sectoral PIN/severity.  Design of  thresholds by % locations showing incidents.</t>
  </si>
  <si>
    <t>Confirmed. NPC to share slightly revised thresholds by Sunday noon.</t>
  </si>
  <si>
    <t xml:space="preserve">
There are very few respondents reporing women feeling unsafe in certain areas. REACH checked distribution of data and consulted with GBV on shiftig categories on the five point severity scale (and not the nature of the indicator thresholds), departing thus from JIAF. </t>
  </si>
  <si>
    <t xml:space="preserve">Indicator should change to a HH-level indicator and make the thresholds applicable at the HH-level. E.g. HH can access primary healthcare within a 15min walk from dwellings --&gt; 1        HH can access primary healthcare within a 15-30min walk from dwellings ---&gt; 2
Health Cluster to finalize. </t>
  </si>
  <si>
    <t xml:space="preserve">yes (TBC) </t>
  </si>
  <si>
    <t xml:space="preserve">Confirmed. FSC to confirm whether LCS or HHS is to be considered critical indicator. </t>
  </si>
  <si>
    <t xml:space="preserve">JOINT AWG-IMWG Meeting Outcomes (3 Sept. 2002) </t>
  </si>
  <si>
    <t xml:space="preserve">WORKING DRAFT ENDORSED AT TECHNICAL LEVEL ON 3 September  2020 </t>
  </si>
  <si>
    <r>
      <t>ADDITIONAL INDICATORS PROPOSED FOR TRACKING UNDER CONTEXT/EVENT/IMPACT PILLARS TO SUPPORT</t>
    </r>
    <r>
      <rPr>
        <b/>
        <u/>
        <sz val="18"/>
        <color rgb="FF0070C0"/>
        <rFont val="Arial"/>
        <family val="2"/>
      </rPr>
      <t xml:space="preserve"> INTER-SECTORAL ANALYSIS  </t>
    </r>
  </si>
  <si>
    <t xml:space="preserve">FSC recommended this as inter-cluster and critical indicator. Perception indicator used to measure extreme food situations. There was no objections on the assumption category 5 is 'near death'. FSC to explain why this indicator would be considred 'critical indicator' and send a brief justification.  </t>
  </si>
  <si>
    <t>Confirmed. REACH to use to support build thresholds of disability indicator / WGQ</t>
  </si>
  <si>
    <t>Indicator Number</t>
  </si>
  <si>
    <t>s_1</t>
  </si>
  <si>
    <t>s_2</t>
  </si>
  <si>
    <t>s_3</t>
  </si>
  <si>
    <t>s_4</t>
  </si>
  <si>
    <t>s_5</t>
  </si>
  <si>
    <t>s_6</t>
  </si>
  <si>
    <t>s_7</t>
  </si>
  <si>
    <t>s_8</t>
  </si>
  <si>
    <t>s_9</t>
  </si>
  <si>
    <t>s_10</t>
  </si>
  <si>
    <t>s_11</t>
  </si>
  <si>
    <t>s_12</t>
  </si>
  <si>
    <t>s_13</t>
  </si>
  <si>
    <t>s_14</t>
  </si>
  <si>
    <t>s_15</t>
  </si>
  <si>
    <t>s_16</t>
  </si>
  <si>
    <t>s_17</t>
  </si>
  <si>
    <t>s_18</t>
  </si>
  <si>
    <t>s_19</t>
  </si>
  <si>
    <t>s_20</t>
  </si>
  <si>
    <t>s_21</t>
  </si>
  <si>
    <t>s_22</t>
  </si>
  <si>
    <t>s_23</t>
  </si>
  <si>
    <t>s_24</t>
  </si>
  <si>
    <t>s_25</t>
  </si>
  <si>
    <t>s_26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</si>
</sst>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2">
    <font>
      <sz val="11"/>
      <color theme="1"/>
      <name val="Calibri"/>
      <family val="2"/>
      <scheme val="minor"/>
    </font>
    <font>
      <sz val="9"/>
      <color rgb="FF000000"/>
      <name val="Arial"/>
      <family val="2"/>
    </font>
    <font>
      <sz val="9"/>
      <color theme="1"/>
      <name val="Arial"/>
      <family val="2"/>
    </font>
    <font>
      <sz val="10"/>
      <color theme="0"/>
      <name val="Arial"/>
      <family val="2"/>
    </font>
    <font>
      <sz val="10"/>
      <color theme="1"/>
      <name val="Arial"/>
      <family val="2"/>
    </font>
    <font>
      <b/>
      <sz val="10"/>
      <color theme="1"/>
      <name val="Arial"/>
      <family val="2"/>
    </font>
    <font>
      <b/>
      <sz val="10"/>
      <color theme="0"/>
      <name val="Arial"/>
      <family val="2"/>
    </font>
    <font>
      <sz val="10"/>
      <color theme="1"/>
      <name val="Calibri"/>
      <family val="2"/>
      <scheme val="minor"/>
    </font>
    <font>
      <sz val="10"/>
      <color rgb="FF000000"/>
      <name val="Arial"/>
      <family val="2"/>
    </font>
    <font>
      <sz val="9"/>
      <color theme="0"/>
      <name val="Arial"/>
      <family val="2"/>
    </font>
    <font>
      <sz val="11"/>
      <color theme="1"/>
      <name val="Calibri"/>
      <family val="2"/>
      <scheme val="minor"/>
    </font>
    <font>
      <sz val="9"/>
      <color theme="1"/>
      <name val="Calibri"/>
      <family val="2"/>
      <scheme val="minor"/>
    </font>
    <font>
      <sz val="11"/>
      <color rgb="FF000000"/>
      <name val="Calibri"/>
      <family val="2"/>
    </font>
    <font>
      <b/>
      <sz val="10"/>
      <color theme="1"/>
      <name val="Calibri"/>
      <family val="2"/>
      <scheme val="minor"/>
    </font>
    <font>
      <b/>
      <sz val="9"/>
      <color theme="1"/>
      <name val="Arial"/>
      <family val="2"/>
    </font>
    <font>
      <b/>
      <sz val="10"/>
      <name val="Arial"/>
      <family val="2"/>
    </font>
    <font>
      <b/>
      <sz val="10"/>
      <color rgb="FF000000"/>
      <name val="Arial"/>
      <family val="2"/>
    </font>
    <font>
      <sz val="10"/>
      <color rgb="FFFF0000"/>
      <name val="Arial"/>
      <family val="2"/>
    </font>
    <font>
      <b/>
      <sz val="10"/>
      <color theme="9"/>
      <name val="Arial"/>
      <family val="2"/>
    </font>
    <font>
      <b/>
      <sz val="10"/>
      <color rgb="FFFF0000"/>
      <name val="Arial"/>
      <family val="2"/>
    </font>
    <font>
      <sz val="10"/>
      <name val="Arial"/>
      <family val="2"/>
    </font>
    <font>
      <sz val="8"/>
      <color theme="1"/>
      <name val="Arial"/>
      <family val="2"/>
    </font>
    <font>
      <b/>
      <sz val="8"/>
      <color theme="0"/>
      <name val="Arial"/>
      <family val="2"/>
    </font>
    <font>
      <sz val="8"/>
      <color rgb="FFFF0000"/>
      <name val="Arial"/>
      <family val="2"/>
    </font>
    <font>
      <b/>
      <sz val="9"/>
      <color theme="0"/>
      <name val="Arial"/>
      <family val="2"/>
    </font>
    <font>
      <sz val="13"/>
      <color theme="1"/>
      <name val="Calibri"/>
      <family val="2"/>
      <scheme val="minor"/>
    </font>
    <font>
      <sz val="9"/>
      <color theme="2" tint="-0.249977111117893"/>
      <name val="Arial"/>
      <family val="2"/>
    </font>
    <font>
      <sz val="18"/>
      <name val="Arial"/>
      <family val="2"/>
    </font>
    <font>
      <b/>
      <sz val="9"/>
      <color rgb="FFFFFFFF"/>
      <name val="Arial"/>
      <family val="2"/>
    </font>
    <font>
      <b/>
      <sz val="9"/>
      <color rgb="FFFF0000"/>
      <name val="Arial"/>
      <family val="2"/>
    </font>
    <font>
      <b/>
      <sz val="9"/>
      <color rgb="FF000000"/>
      <name val="Arial"/>
      <family val="2"/>
    </font>
    <font>
      <i/>
      <sz val="9"/>
      <color rgb="FF000000"/>
      <name val="Arial"/>
      <family val="2"/>
    </font>
    <font>
      <i/>
      <sz val="9"/>
      <color rgb="FF0070C0"/>
      <name val="Arial"/>
      <family val="2"/>
    </font>
    <font>
      <b/>
      <sz val="14"/>
      <color theme="1"/>
      <name val="Arial"/>
      <family val="2"/>
    </font>
    <font>
      <b/>
      <sz val="14"/>
      <color theme="4"/>
      <name val="Arial"/>
      <family val="2"/>
    </font>
    <font>
      <b/>
      <sz val="14"/>
      <color rgb="FFFF0000"/>
      <name val="Arial"/>
      <family val="2"/>
    </font>
    <font>
      <b/>
      <sz val="12"/>
      <color theme="0"/>
      <name val="Arial"/>
      <family val="2"/>
    </font>
    <font>
      <sz val="10"/>
      <color theme="1" tint="0.499984740745262"/>
      <name val="Arial"/>
      <family val="2"/>
    </font>
    <font>
      <sz val="10"/>
      <color rgb="FF808080"/>
      <name val="Arial"/>
      <family val="2"/>
    </font>
    <font>
      <sz val="10"/>
      <color rgb="FFFFFFFF"/>
      <name val="Arial"/>
      <family val="2"/>
    </font>
    <font>
      <strike/>
      <sz val="10"/>
      <color theme="1"/>
      <name val="Arial"/>
      <family val="2"/>
    </font>
    <font>
      <b/>
      <sz val="9"/>
      <color indexed="81"/>
      <name val="Tahoma"/>
      <family val="2"/>
    </font>
    <font>
      <sz val="9"/>
      <color indexed="81"/>
      <name val="Tahoma"/>
      <family val="2"/>
    </font>
    <font>
      <sz val="10"/>
      <color rgb="FF000000"/>
      <name val="Arial"/>
      <family val="2"/>
    </font>
    <font>
      <sz val="11"/>
      <color rgb="FF000000"/>
      <name val="Inconsolata"/>
    </font>
    <font>
      <sz val="10"/>
      <color theme="1"/>
      <name val="Arial"/>
      <family val="2"/>
    </font>
    <font>
      <b/>
      <sz val="10"/>
      <color theme="1"/>
      <name val="Arial"/>
      <family val="2"/>
    </font>
    <font>
      <b/>
      <sz val="10"/>
      <color rgb="FFFFFFFF"/>
      <name val="Arial"/>
      <family val="2"/>
    </font>
    <font>
      <sz val="10"/>
      <color rgb="FF434343"/>
      <name val="Arial"/>
      <family val="2"/>
    </font>
    <font>
      <sz val="11"/>
      <color rgb="FF434343"/>
      <name val="Calibri"/>
      <family val="2"/>
    </font>
    <font>
      <sz val="11"/>
      <color rgb="FF000000"/>
      <name val="Calibri"/>
      <family val="2"/>
    </font>
    <font>
      <sz val="11"/>
      <color theme="1"/>
      <name val="Calibri"/>
      <family val="2"/>
    </font>
    <font>
      <b/>
      <sz val="10"/>
      <color rgb="FFFFFFFF"/>
      <name val="Arial"/>
      <family val="2"/>
    </font>
    <font>
      <sz val="10"/>
      <color rgb="FF434343"/>
      <name val="Arial"/>
      <family val="2"/>
    </font>
    <font>
      <sz val="11"/>
      <color rgb="FF434343"/>
      <name val="Calibri"/>
      <family val="2"/>
    </font>
    <font>
      <sz val="11"/>
      <color theme="1"/>
      <name val="Calibri"/>
      <family val="2"/>
    </font>
    <font>
      <sz val="10"/>
      <color rgb="FF000000"/>
      <name val="Calibri"/>
      <family val="2"/>
    </font>
    <font>
      <sz val="10"/>
      <color rgb="FF434343"/>
      <name val="Calibri"/>
      <family val="2"/>
    </font>
    <font>
      <sz val="9"/>
      <color rgb="FF434343"/>
      <name val="Arial"/>
      <family val="2"/>
    </font>
    <font>
      <sz val="9"/>
      <color theme="1"/>
      <name val="Calibri"/>
      <family val="2"/>
    </font>
    <font>
      <b/>
      <sz val="12"/>
      <color theme="1"/>
      <name val="Arial"/>
      <family val="2"/>
    </font>
    <font>
      <b/>
      <i/>
      <sz val="9"/>
      <color theme="4" tint="0.59999389629810485"/>
      <name val="Arial"/>
      <family val="2"/>
    </font>
    <font>
      <b/>
      <sz val="24"/>
      <color theme="1"/>
      <name val="Arial"/>
      <family val="2"/>
    </font>
    <font>
      <b/>
      <sz val="20"/>
      <color theme="1"/>
      <name val="Arial"/>
      <family val="2"/>
    </font>
    <font>
      <b/>
      <sz val="20"/>
      <color rgb="FFC00000"/>
      <name val="Arial"/>
      <family val="2"/>
    </font>
    <font>
      <sz val="8"/>
      <color rgb="FF333333"/>
      <name val="Arial"/>
      <family val="2"/>
    </font>
    <font>
      <sz val="12"/>
      <color theme="1"/>
      <name val="Arial"/>
      <family val="2"/>
    </font>
    <font>
      <u/>
      <sz val="11"/>
      <color theme="10"/>
      <name val="Calibri"/>
      <family val="2"/>
      <scheme val="minor"/>
    </font>
    <font>
      <sz val="9"/>
      <color theme="0"/>
      <name val="Rooto"/>
    </font>
    <font>
      <sz val="9"/>
      <color theme="1" tint="0.14999847407452621"/>
      <name val="Arial"/>
      <family val="2"/>
    </font>
    <font>
      <sz val="14"/>
      <color theme="1"/>
      <name val="Calibri"/>
      <family val="2"/>
      <scheme val="minor"/>
    </font>
    <font>
      <sz val="14"/>
      <color theme="1"/>
      <name val="Arial"/>
      <family val="2"/>
    </font>
    <font>
      <sz val="24"/>
      <color theme="1"/>
      <name val="Arial"/>
      <family val="2"/>
    </font>
    <font>
      <b/>
      <sz val="20"/>
      <name val="Arial"/>
      <family val="2"/>
    </font>
    <font>
      <u/>
      <sz val="9"/>
      <color rgb="FF000000"/>
      <name val="Arial"/>
      <family val="2"/>
    </font>
    <font>
      <b/>
      <u/>
      <sz val="9"/>
      <color rgb="FF000000"/>
      <name val="Arial"/>
      <family val="2"/>
    </font>
    <font>
      <sz val="11"/>
      <color rgb="FF9C0006"/>
      <name val="Calibri"/>
      <family val="2"/>
      <scheme val="minor"/>
    </font>
    <font>
      <sz val="9"/>
      <name val="Arial"/>
      <family val="2"/>
    </font>
    <font>
      <sz val="8"/>
      <color theme="1"/>
      <name val="Calibri"/>
      <family val="2"/>
      <scheme val="minor"/>
    </font>
    <font>
      <b/>
      <sz val="8"/>
      <color rgb="FFFFFFFF"/>
      <name val="Arial"/>
      <family val="2"/>
    </font>
    <font>
      <sz val="8"/>
      <color rgb="FF000000"/>
      <name val="Arial"/>
      <family val="2"/>
    </font>
    <font>
      <sz val="8"/>
      <name val="Arial"/>
      <family val="2"/>
    </font>
    <font>
      <sz val="11"/>
      <color theme="1"/>
      <name val="Arial"/>
      <family val="2"/>
    </font>
    <font>
      <b/>
      <sz val="11"/>
      <color theme="0"/>
      <name val="Arial"/>
      <family val="2"/>
    </font>
    <font>
      <u/>
      <sz val="9"/>
      <color theme="1"/>
      <name val="Arial"/>
      <family val="2"/>
    </font>
    <font>
      <b/>
      <sz val="9"/>
      <color theme="5"/>
      <name val="Arial"/>
      <family val="2"/>
    </font>
    <font>
      <b/>
      <sz val="10"/>
      <color theme="5" tint="-0.249977111117893"/>
      <name val="Arial"/>
      <family val="2"/>
    </font>
    <font>
      <b/>
      <sz val="18"/>
      <color rgb="FF0070C0"/>
      <name val="Arial"/>
      <family val="2"/>
    </font>
    <font>
      <b/>
      <u/>
      <sz val="18"/>
      <color rgb="FF0070C0"/>
      <name val="Arial"/>
      <family val="2"/>
    </font>
    <font>
      <i/>
      <sz val="9"/>
      <color theme="1"/>
      <name val="Arial"/>
      <family val="2"/>
    </font>
    <font>
      <i/>
      <sz val="9"/>
      <name val="Arial"/>
      <family val="2"/>
    </font>
    <font>
      <b/>
      <sz val="11"/>
      <color theme="1"/>
      <name val="Calibri"/>
      <family val="2"/>
      <scheme val="minor"/>
    </font>
    <font>
      <sz val="10"/>
      <color rgb="FF434343"/>
      <name val="Arial"/>
      <family val="2"/>
    </font>
    <font>
      <sz val="10"/>
      <color theme="1"/>
      <name val="Arial"/>
      <family val="2"/>
    </font>
    <font>
      <b/>
      <sz val="9"/>
      <color rgb="FF434343"/>
      <name val="Arial"/>
      <family val="2"/>
    </font>
    <font>
      <b/>
      <sz val="9"/>
      <color theme="1"/>
      <name val="Calibri"/>
      <family val="2"/>
      <scheme val="minor"/>
    </font>
    <font>
      <b/>
      <sz val="11"/>
      <color theme="1"/>
      <name val="Calibri"/>
      <family val="2"/>
    </font>
    <font>
      <b/>
      <sz val="10"/>
      <color rgb="FF434343"/>
      <name val="Arial"/>
      <family val="2"/>
    </font>
    <font>
      <sz val="14"/>
      <color rgb="FF000000"/>
      <name val="Arial"/>
      <family val="2"/>
    </font>
    <font>
      <u/>
      <sz val="14"/>
      <color theme="10"/>
      <name val="Calibri"/>
      <family val="2"/>
      <scheme val="minor"/>
    </font>
    <font>
      <b/>
      <sz val="14"/>
      <color rgb="FFFFFFFF"/>
      <name val="Arial"/>
      <family val="2"/>
    </font>
    <font>
      <sz val="10"/>
      <color rgb="FF000000"/>
      <name val="Arial"/>
      <family val="2"/>
    </font>
    <font>
      <b/>
      <sz val="9"/>
      <color rgb="FFFFFFFF"/>
      <name val="Calibri"/>
      <family val="2"/>
      <scheme val="minor"/>
    </font>
    <font>
      <b/>
      <sz val="12"/>
      <color theme="1"/>
      <name val="Calibri"/>
      <family val="2"/>
      <scheme val="minor"/>
    </font>
    <font>
      <b/>
      <sz val="7"/>
      <color theme="1"/>
      <name val="Arial"/>
      <family val="2"/>
    </font>
    <font>
      <sz val="7"/>
      <color theme="1"/>
      <name val="Arial"/>
      <family val="2"/>
    </font>
    <font>
      <sz val="7"/>
      <color theme="0"/>
      <name val="Arial"/>
      <family val="2"/>
    </font>
    <font>
      <sz val="8"/>
      <name val="Calibri"/>
      <family val="2"/>
      <scheme val="minor"/>
    </font>
    <font>
      <sz val="10"/>
      <color theme="8" tint="-0.249977111117893"/>
      <name val="Arial"/>
      <family val="2"/>
    </font>
    <font>
      <b/>
      <sz val="22"/>
      <color theme="1"/>
      <name val="Arial"/>
      <family val="2"/>
    </font>
    <font>
      <b/>
      <sz val="14"/>
      <color theme="4" tint="-0.249977111117893"/>
      <name val="Arial Narrow"/>
      <family val="2"/>
    </font>
    <font>
      <b/>
      <sz val="14"/>
      <color theme="0"/>
      <name val="Calibri Light"/>
      <family val="2"/>
      <scheme val="major"/>
    </font>
    <font>
      <sz val="11"/>
      <name val="Arial"/>
      <family val="2"/>
    </font>
    <font>
      <b/>
      <sz val="11"/>
      <name val="Arial"/>
      <family val="2"/>
    </font>
    <font>
      <sz val="24"/>
      <name val="Calibri"/>
      <family val="2"/>
      <scheme val="minor"/>
    </font>
    <font>
      <b/>
      <sz val="8"/>
      <color theme="1"/>
      <name val="Arial"/>
      <family val="2"/>
    </font>
    <font>
      <i/>
      <sz val="8"/>
      <name val="Arial"/>
      <family val="2"/>
    </font>
    <font>
      <sz val="8"/>
      <color theme="0"/>
      <name val="Arial"/>
      <family val="2"/>
    </font>
    <font>
      <b/>
      <sz val="7"/>
      <color rgb="FFFFFFFF"/>
      <name val="Arial"/>
      <family val="2"/>
    </font>
    <font>
      <i/>
      <sz val="7"/>
      <color rgb="FF0070C0"/>
      <name val="Arial"/>
      <family val="2"/>
    </font>
    <font>
      <u/>
      <sz val="8"/>
      <color theme="1"/>
      <name val="Arial"/>
      <family val="2"/>
    </font>
    <font>
      <b/>
      <sz val="8"/>
      <color rgb="FFC00000"/>
      <name val="Arial"/>
      <family val="2"/>
    </font>
    <font>
      <sz val="9"/>
      <color theme="0" tint="-0.499984740745262"/>
      <name val="Arial"/>
      <family val="2"/>
    </font>
    <font>
      <i/>
      <sz val="10"/>
      <color rgb="FF0070C0"/>
      <name val="Arial"/>
      <family val="2"/>
    </font>
    <font>
      <i/>
      <sz val="10"/>
      <color theme="8"/>
      <name val="Arial"/>
      <family val="2"/>
    </font>
    <font>
      <i/>
      <sz val="8"/>
      <color theme="8"/>
      <name val="Arial"/>
      <family val="2"/>
    </font>
    <font>
      <sz val="8"/>
      <color rgb="FF252423"/>
      <name val="Arial"/>
      <family val="2"/>
    </font>
    <font>
      <sz val="10"/>
      <color rgb="FFFF5050"/>
      <name val="Arial"/>
      <family val="2"/>
    </font>
    <font>
      <b/>
      <sz val="8"/>
      <color theme="5" tint="-0.249977111117893"/>
      <name val="Arial"/>
      <family val="2"/>
    </font>
    <font>
      <b/>
      <u/>
      <sz val="8"/>
      <color theme="0"/>
      <name val="Arial"/>
      <family val="2"/>
    </font>
    <font>
      <b/>
      <i/>
      <sz val="9"/>
      <name val="Arial"/>
      <family val="2"/>
    </font>
    <font>
      <b/>
      <sz val="9"/>
      <name val="Arial"/>
      <family val="2"/>
    </font>
    <font>
      <b/>
      <sz val="7"/>
      <color theme="5"/>
      <name val="Arial"/>
      <family val="2"/>
    </font>
    <font>
      <u/>
      <sz val="7"/>
      <color theme="1"/>
      <name val="Arial"/>
      <family val="2"/>
    </font>
    <font>
      <b/>
      <sz val="7"/>
      <color rgb="FFC00000"/>
      <name val="Arial"/>
      <family val="2"/>
    </font>
    <font>
      <b/>
      <u/>
      <sz val="7"/>
      <color theme="1"/>
      <name val="Arial"/>
      <family val="2"/>
    </font>
    <font>
      <i/>
      <sz val="8"/>
      <color rgb="FF0070C0"/>
      <name val="Arial"/>
      <family val="2"/>
    </font>
    <font>
      <i/>
      <sz val="9"/>
      <color theme="4"/>
      <name val="Arial"/>
      <family val="2"/>
    </font>
    <font>
      <i/>
      <sz val="18"/>
      <color theme="4"/>
      <name val="Arial"/>
      <family val="2"/>
    </font>
    <font>
      <sz val="7"/>
      <name val="Arial"/>
      <family val="2"/>
    </font>
    <font>
      <sz val="9"/>
      <color rgb="FFFF0000"/>
      <name val="Arial"/>
      <family val="2"/>
    </font>
    <font>
      <i/>
      <sz val="10"/>
      <color theme="4"/>
      <name val="Arial"/>
      <family val="2"/>
    </font>
  </fonts>
  <fills count="92">
    <fill>
      <patternFill patternType="none"/>
    </fill>
    <fill>
      <patternFill patternType="gray125"/>
    </fill>
    <fill>
      <patternFill patternType="solid">
        <fgColor rgb="FFFFC000"/>
        <bgColor indexed="64"/>
      </patternFill>
    </fill>
    <fill>
      <patternFill patternType="solid">
        <fgColor rgb="FFC00000"/>
        <bgColor indexed="64"/>
      </patternFill>
    </fill>
    <fill>
      <patternFill patternType="solid">
        <fgColor rgb="FFFFD966"/>
        <bgColor indexed="64"/>
      </patternFill>
    </fill>
    <fill>
      <patternFill patternType="solid">
        <fgColor rgb="FFED7D31"/>
        <bgColor indexed="64"/>
      </patternFill>
    </fill>
    <fill>
      <patternFill patternType="solid">
        <fgColor rgb="FFC45911"/>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rgb="FF0070C0"/>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F7CAAC"/>
        <bgColor rgb="FFF7CAAC"/>
      </patternFill>
    </fill>
    <fill>
      <patternFill patternType="solid">
        <fgColor theme="9" tint="0.39997558519241921"/>
        <bgColor rgb="FFFFE598"/>
      </patternFill>
    </fill>
    <fill>
      <patternFill patternType="solid">
        <fgColor theme="0" tint="-0.34998626667073579"/>
        <bgColor indexed="64"/>
      </patternFill>
    </fill>
    <fill>
      <patternFill patternType="solid">
        <fgColor rgb="FFA5A5A5"/>
        <bgColor rgb="FFA5A5A5"/>
      </patternFill>
    </fill>
    <fill>
      <patternFill patternType="solid">
        <fgColor theme="5"/>
        <bgColor rgb="FFA8D08D"/>
      </patternFill>
    </fill>
    <fill>
      <patternFill patternType="solid">
        <fgColor rgb="FF8EAADB"/>
        <bgColor rgb="FF8EAADB"/>
      </patternFill>
    </fill>
    <fill>
      <patternFill patternType="solid">
        <fgColor theme="5" tint="0.39997558519241921"/>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5"/>
        <bgColor indexed="64"/>
      </patternFill>
    </fill>
    <fill>
      <patternFill patternType="solid">
        <fgColor rgb="FFFF0000"/>
        <bgColor indexed="64"/>
      </patternFill>
    </fill>
    <fill>
      <patternFill patternType="solid">
        <fgColor theme="5" tint="0.39997558519241921"/>
        <bgColor rgb="FFF7CAAC"/>
      </patternFill>
    </fill>
    <fill>
      <patternFill patternType="solid">
        <fgColor theme="1"/>
        <bgColor indexed="64"/>
      </patternFill>
    </fill>
    <fill>
      <patternFill patternType="solid">
        <fgColor theme="5" tint="-0.249977111117893"/>
        <bgColor indexed="64"/>
      </patternFill>
    </fill>
    <fill>
      <patternFill patternType="solid">
        <fgColor rgb="FFCCCCFF"/>
        <bgColor indexed="64"/>
      </patternFill>
    </fill>
    <fill>
      <patternFill patternType="solid">
        <fgColor rgb="FF9966FF"/>
        <bgColor indexed="64"/>
      </patternFill>
    </fill>
    <fill>
      <patternFill patternType="solid">
        <fgColor rgb="FF002060"/>
        <bgColor indexed="64"/>
      </patternFill>
    </fill>
    <fill>
      <patternFill patternType="solid">
        <fgColor rgb="FFA6A6A6"/>
        <bgColor indexed="64"/>
      </patternFill>
    </fill>
    <fill>
      <patternFill patternType="solid">
        <fgColor rgb="FFBDD7EE"/>
        <bgColor indexed="64"/>
      </patternFill>
    </fill>
    <fill>
      <patternFill patternType="solid">
        <fgColor rgb="FFD9D9D9"/>
        <bgColor indexed="64"/>
      </patternFill>
    </fill>
    <fill>
      <patternFill patternType="solid">
        <fgColor rgb="FF9BC2E6"/>
        <bgColor indexed="64"/>
      </patternFill>
    </fill>
    <fill>
      <patternFill patternType="solid">
        <fgColor rgb="FF2F75B5"/>
        <bgColor indexed="64"/>
      </patternFill>
    </fill>
    <fill>
      <patternFill patternType="solid">
        <fgColor rgb="FF1F4E78"/>
        <bgColor indexed="64"/>
      </patternFill>
    </fill>
    <fill>
      <patternFill patternType="solid">
        <fgColor rgb="FF92D050"/>
        <bgColor indexed="64"/>
      </patternFill>
    </fill>
    <fill>
      <patternFill patternType="solid">
        <fgColor rgb="FFFFFF00"/>
        <bgColor indexed="64"/>
      </patternFill>
    </fill>
    <fill>
      <patternFill patternType="solid">
        <fgColor rgb="FFFFFFFF"/>
        <bgColor rgb="FFFFFFFF"/>
      </patternFill>
    </fill>
    <fill>
      <patternFill patternType="solid">
        <fgColor rgb="FFE6B8AF"/>
        <bgColor rgb="FFE6B8AF"/>
      </patternFill>
    </fill>
    <fill>
      <patternFill patternType="solid">
        <fgColor rgb="FFDD7E6B"/>
        <bgColor rgb="FFDD7E6B"/>
      </patternFill>
    </fill>
    <fill>
      <patternFill patternType="solid">
        <fgColor rgb="FFCC4125"/>
        <bgColor rgb="FFCC4125"/>
      </patternFill>
    </fill>
    <fill>
      <patternFill patternType="solid">
        <fgColor rgb="FFA61C00"/>
        <bgColor rgb="FFA61C00"/>
      </patternFill>
    </fill>
    <fill>
      <patternFill patternType="solid">
        <fgColor rgb="FF85200C"/>
        <bgColor rgb="FF85200C"/>
      </patternFill>
    </fill>
    <fill>
      <patternFill patternType="solid">
        <fgColor rgb="FFCCCCCC"/>
        <bgColor rgb="FFCCCCCC"/>
      </patternFill>
    </fill>
    <fill>
      <patternFill patternType="solid">
        <fgColor rgb="FFD5A6BD"/>
        <bgColor rgb="FFD5A6BD"/>
      </patternFill>
    </fill>
    <fill>
      <patternFill patternType="solid">
        <fgColor rgb="FFA4C2F4"/>
        <bgColor rgb="FFA4C2F4"/>
      </patternFill>
    </fill>
    <fill>
      <patternFill patternType="solid">
        <fgColor rgb="FFFFE599"/>
        <bgColor rgb="FFFFE599"/>
      </patternFill>
    </fill>
    <fill>
      <patternFill patternType="solid">
        <fgColor rgb="FFB6D7A8"/>
        <bgColor rgb="FFB6D7A8"/>
      </patternFill>
    </fill>
    <fill>
      <patternFill patternType="solid">
        <fgColor rgb="FFEA9999"/>
        <bgColor rgb="FFEA9999"/>
      </patternFill>
    </fill>
    <fill>
      <patternFill patternType="solid">
        <fgColor rgb="FF93C47D"/>
        <bgColor rgb="FF93C47D"/>
      </patternFill>
    </fill>
    <fill>
      <patternFill patternType="solid">
        <fgColor rgb="FFA2C4C9"/>
        <bgColor rgb="FFA2C4C9"/>
      </patternFill>
    </fill>
    <fill>
      <patternFill patternType="solid">
        <fgColor rgb="FF6D9EEB"/>
        <bgColor rgb="FF6D9EEB"/>
      </patternFill>
    </fill>
    <fill>
      <patternFill patternType="solid">
        <fgColor theme="8" tint="0.59999389629810485"/>
        <bgColor rgb="FFD5A6BD"/>
      </patternFill>
    </fill>
    <fill>
      <patternFill patternType="solid">
        <fgColor theme="8" tint="0.59999389629810485"/>
        <bgColor indexed="64"/>
      </patternFill>
    </fill>
    <fill>
      <patternFill patternType="solid">
        <fgColor theme="7" tint="0.59999389629810485"/>
        <bgColor indexed="64"/>
      </patternFill>
    </fill>
    <fill>
      <patternFill patternType="solid">
        <fgColor theme="2" tint="-4.9989318521683403E-2"/>
        <bgColor indexed="64"/>
      </patternFill>
    </fill>
    <fill>
      <patternFill patternType="solid">
        <fgColor rgb="FFE6B8AF"/>
        <bgColor indexed="64"/>
      </patternFill>
    </fill>
    <fill>
      <patternFill patternType="solid">
        <fgColor rgb="FFDD7E6B"/>
        <bgColor indexed="64"/>
      </patternFill>
    </fill>
    <fill>
      <patternFill patternType="solid">
        <fgColor rgb="FFCC4125"/>
        <bgColor indexed="64"/>
      </patternFill>
    </fill>
    <fill>
      <patternFill patternType="solid">
        <fgColor rgb="FFA61C00"/>
        <bgColor indexed="64"/>
      </patternFill>
    </fill>
    <fill>
      <patternFill patternType="solid">
        <fgColor rgb="FF85200C"/>
        <bgColor indexed="64"/>
      </patternFill>
    </fill>
    <fill>
      <patternFill patternType="solid">
        <fgColor rgb="FFCCCCCC"/>
        <bgColor indexed="64"/>
      </patternFill>
    </fill>
    <fill>
      <patternFill patternType="solid">
        <fgColor rgb="FFA2C4C9"/>
        <bgColor indexed="64"/>
      </patternFill>
    </fill>
    <fill>
      <patternFill patternType="solid">
        <fgColor theme="0" tint="-0.499984740745262"/>
        <bgColor rgb="FFCCCCCC"/>
      </patternFill>
    </fill>
    <fill>
      <patternFill patternType="solid">
        <fgColor theme="9" tint="-0.249977111117893"/>
        <bgColor indexed="64"/>
      </patternFill>
    </fill>
    <fill>
      <patternFill patternType="solid">
        <fgColor theme="1" tint="0.499984740745262"/>
        <bgColor indexed="64"/>
      </patternFill>
    </fill>
    <fill>
      <patternFill patternType="solid">
        <fgColor rgb="FF800000"/>
        <bgColor indexed="64"/>
      </patternFill>
    </fill>
    <fill>
      <patternFill patternType="solid">
        <fgColor rgb="FFFF5050"/>
        <bgColor indexed="64"/>
      </patternFill>
    </fill>
    <fill>
      <patternFill patternType="solid">
        <fgColor rgb="FFFFC7CE"/>
      </patternFill>
    </fill>
    <fill>
      <patternFill patternType="solid">
        <fgColor theme="1" tint="0.34998626667073579"/>
        <bgColor indexed="64"/>
      </patternFill>
    </fill>
    <fill>
      <patternFill patternType="solid">
        <fgColor theme="0"/>
        <bgColor indexed="64"/>
      </patternFill>
    </fill>
    <fill>
      <patternFill patternType="solid">
        <fgColor theme="5" tint="-0.499984740745262"/>
        <bgColor indexed="64"/>
      </patternFill>
    </fill>
    <fill>
      <patternFill patternType="solid">
        <fgColor rgb="FFFFFF00"/>
        <bgColor rgb="FFD5A6BD"/>
      </patternFill>
    </fill>
    <fill>
      <patternFill patternType="solid">
        <fgColor theme="0" tint="-4.9989318521683403E-2"/>
        <bgColor indexed="64"/>
      </patternFill>
    </fill>
    <fill>
      <patternFill patternType="solid">
        <fgColor theme="2"/>
        <bgColor indexed="64"/>
      </patternFill>
    </fill>
    <fill>
      <patternFill patternType="solid">
        <fgColor theme="6"/>
        <bgColor indexed="64"/>
      </patternFill>
    </fill>
    <fill>
      <patternFill patternType="solid">
        <fgColor theme="4" tint="0.59999389629810485"/>
        <bgColor indexed="64"/>
      </patternFill>
    </fill>
    <fill>
      <patternFill patternType="solid">
        <fgColor theme="4" tint="0.59999389629810485"/>
        <bgColor rgb="FF93C47D"/>
      </patternFill>
    </fill>
    <fill>
      <patternFill patternType="solid">
        <fgColor theme="8"/>
        <bgColor indexed="64"/>
      </patternFill>
    </fill>
    <fill>
      <patternFill patternType="solid">
        <fgColor rgb="FF7F1416"/>
        <bgColor indexed="64"/>
      </patternFill>
    </fill>
    <fill>
      <patternFill patternType="solid">
        <fgColor theme="8" tint="-0.249977111117893"/>
        <bgColor indexed="64"/>
      </patternFill>
    </fill>
    <fill>
      <patternFill patternType="solid">
        <fgColor theme="3" tint="-0.499984740745262"/>
        <bgColor indexed="64"/>
      </patternFill>
    </fill>
    <fill>
      <patternFill patternType="solid">
        <fgColor theme="0" tint="-0.499984740745262"/>
        <bgColor indexed="64"/>
      </patternFill>
    </fill>
    <fill>
      <patternFill patternType="solid">
        <fgColor theme="3" tint="0.79998168889431442"/>
        <bgColor indexed="64"/>
      </patternFill>
    </fill>
    <fill>
      <patternFill patternType="solid">
        <fgColor theme="3" tint="-0.249977111117893"/>
        <bgColor indexed="64"/>
      </patternFill>
    </fill>
  </fills>
  <borders count="122">
    <border>
      <left/>
      <right/>
      <top/>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right/>
      <top/>
      <bottom style="thin">
        <color indexed="64"/>
      </bottom>
      <diagonal/>
    </border>
    <border>
      <left style="thin">
        <color auto="1"/>
      </left>
      <right/>
      <top/>
      <bottom/>
      <diagonal/>
    </border>
    <border>
      <left style="thin">
        <color theme="0"/>
      </left>
      <right style="thin">
        <color theme="0"/>
      </right>
      <top style="thin">
        <color theme="0"/>
      </top>
      <bottom style="thin">
        <color theme="0"/>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diagonal/>
    </border>
    <border>
      <left style="thin">
        <color indexed="64"/>
      </left>
      <right style="thin">
        <color theme="0"/>
      </right>
      <top style="thin">
        <color theme="0"/>
      </top>
      <bottom style="thin">
        <color theme="0"/>
      </bottom>
      <diagonal/>
    </border>
    <border>
      <left style="thin">
        <color theme="0"/>
      </left>
      <right style="dashDotDot">
        <color theme="0"/>
      </right>
      <top style="thin">
        <color theme="0"/>
      </top>
      <bottom style="thin">
        <color theme="0"/>
      </bottom>
      <diagonal/>
    </border>
    <border>
      <left/>
      <right/>
      <top/>
      <bottom style="medium">
        <color theme="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FFFFFF"/>
      </right>
      <top style="medium">
        <color rgb="FF000000"/>
      </top>
      <bottom style="medium">
        <color rgb="FF000000"/>
      </bottom>
      <diagonal/>
    </border>
    <border>
      <left style="thin">
        <color rgb="FFFFFFFF"/>
      </left>
      <right style="thin">
        <color rgb="FFFFFFFF"/>
      </right>
      <top style="medium">
        <color rgb="FF000000"/>
      </top>
      <bottom style="medium">
        <color rgb="FF000000"/>
      </bottom>
      <diagonal/>
    </border>
    <border>
      <left style="thin">
        <color rgb="FFFFFFFF"/>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style="medium">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thin">
        <color rgb="FFFFFFFF"/>
      </right>
      <top style="medium">
        <color rgb="FF000000"/>
      </top>
      <bottom/>
      <diagonal/>
    </border>
    <border>
      <left style="thin">
        <color rgb="FFFFFFFF"/>
      </left>
      <right style="thin">
        <color rgb="FFFFFFFF"/>
      </right>
      <top style="medium">
        <color rgb="FF000000"/>
      </top>
      <bottom style="thin">
        <color rgb="FFFFFFFF"/>
      </bottom>
      <diagonal/>
    </border>
    <border>
      <left/>
      <right style="thin">
        <color rgb="FFFFFFFF"/>
      </right>
      <top/>
      <bottom/>
      <diagonal/>
    </border>
    <border>
      <left style="thin">
        <color rgb="FFFFFFFF"/>
      </left>
      <right style="thin">
        <color rgb="FFFFFFFF"/>
      </right>
      <top style="thin">
        <color rgb="FFFFFFFF"/>
      </top>
      <bottom style="thin">
        <color rgb="FFFFFFFF"/>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right>
      <top/>
      <bottom/>
      <diagonal/>
    </border>
    <border>
      <left style="thin">
        <color theme="0"/>
      </left>
      <right style="thin">
        <color theme="0"/>
      </right>
      <top/>
      <bottom/>
      <diagonal/>
    </border>
    <border>
      <left/>
      <right style="medium">
        <color rgb="FFA6A6A6"/>
      </right>
      <top style="medium">
        <color rgb="FFA6A6A6"/>
      </top>
      <bottom style="medium">
        <color rgb="FFA6A6A6"/>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theme="0" tint="-0.34998626667073579"/>
      </left>
      <right style="thin">
        <color theme="0" tint="-0.34998626667073579"/>
      </right>
      <top style="thin">
        <color theme="0" tint="-0.34998626667073579"/>
      </top>
      <bottom/>
      <diagonal/>
    </border>
    <border>
      <left style="thin">
        <color theme="2"/>
      </left>
      <right style="thin">
        <color theme="2"/>
      </right>
      <top style="thin">
        <color theme="2"/>
      </top>
      <bottom style="thin">
        <color theme="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rgb="FFFFFFFF"/>
      </left>
      <right/>
      <top style="medium">
        <color rgb="FF000000"/>
      </top>
      <bottom style="thin">
        <color rgb="FFFFFFFF"/>
      </bottom>
      <diagonal/>
    </border>
    <border>
      <left style="thin">
        <color rgb="FFFFFFFF"/>
      </left>
      <right/>
      <top style="thin">
        <color rgb="FFFFFFFF"/>
      </top>
      <bottom style="thin">
        <color rgb="FFFFFFFF"/>
      </bottom>
      <diagonal/>
    </border>
    <border>
      <left style="medium">
        <color indexed="64"/>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diagonal/>
    </border>
    <border diagonalUp="1" diagonalDown="1">
      <left/>
      <right/>
      <top/>
      <bottom/>
      <diagonal style="thin">
        <color auto="1"/>
      </diagonal>
    </border>
    <border>
      <left/>
      <right/>
      <top/>
      <bottom style="thin">
        <color rgb="FF000000"/>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theme="0"/>
      </top>
      <bottom style="thin">
        <color theme="0"/>
      </bottom>
      <diagonal/>
    </border>
    <border>
      <left/>
      <right style="dashDotDot">
        <color theme="0"/>
      </right>
      <top style="thin">
        <color theme="0"/>
      </top>
      <bottom style="thin">
        <color theme="0"/>
      </bottom>
      <diagonal/>
    </border>
    <border>
      <left style="thin">
        <color theme="4"/>
      </left>
      <right style="thin">
        <color theme="4"/>
      </right>
      <top style="thin">
        <color theme="4"/>
      </top>
      <bottom/>
      <diagonal/>
    </border>
    <border>
      <left style="medium">
        <color rgb="FFCCCCCC"/>
      </left>
      <right style="medium">
        <color rgb="FF000000"/>
      </right>
      <top/>
      <bottom/>
      <diagonal/>
    </border>
    <border>
      <left style="medium">
        <color rgb="FF000000"/>
      </left>
      <right style="medium">
        <color rgb="FF000000"/>
      </right>
      <top style="thin">
        <color indexed="64"/>
      </top>
      <bottom style="medium">
        <color rgb="FF000000"/>
      </bottom>
      <diagonal/>
    </border>
    <border>
      <left style="medium">
        <color rgb="FFCCCCCC"/>
      </left>
      <right style="medium">
        <color rgb="FF000000"/>
      </right>
      <top style="thin">
        <color indexed="64"/>
      </top>
      <bottom style="medium">
        <color rgb="FF000000"/>
      </bottom>
      <diagonal/>
    </border>
    <border>
      <left style="thin">
        <color theme="1" tint="0.499984740745262"/>
      </left>
      <right style="thin">
        <color theme="1" tint="0.499984740745262"/>
      </right>
      <top/>
      <bottom style="thin">
        <color theme="1" tint="0.499984740745262"/>
      </bottom>
      <diagonal/>
    </border>
    <border>
      <left style="thin">
        <color theme="4"/>
      </left>
      <right style="thin">
        <color theme="4"/>
      </right>
      <top style="thin">
        <color theme="4"/>
      </top>
      <bottom style="thin">
        <color theme="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left>
      <right/>
      <top/>
      <bottom style="thin">
        <color theme="1" tint="0.499984740745262"/>
      </bottom>
      <diagonal/>
    </border>
    <border>
      <left/>
      <right/>
      <top/>
      <bottom style="thin">
        <color theme="1" tint="0.499984740745262"/>
      </bottom>
      <diagonal/>
    </border>
    <border>
      <left/>
      <right style="thin">
        <color theme="0"/>
      </right>
      <top/>
      <bottom style="thin">
        <color theme="1" tint="0.499984740745262"/>
      </bottom>
      <diagonal/>
    </border>
    <border>
      <left style="thin">
        <color theme="0" tint="-0.34998626667073579"/>
      </left>
      <right/>
      <top/>
      <bottom style="thin">
        <color theme="0" tint="-0.14993743705557422"/>
      </bottom>
      <diagonal/>
    </border>
    <border>
      <left/>
      <right style="thin">
        <color theme="0"/>
      </right>
      <top/>
      <bottom style="thin">
        <color theme="0" tint="-0.14993743705557422"/>
      </bottom>
      <diagonal/>
    </border>
    <border>
      <left style="thin">
        <color theme="0" tint="-0.34998626667073579"/>
      </left>
      <right/>
      <top style="thin">
        <color theme="0" tint="-0.34998626667073579"/>
      </top>
      <bottom style="thin">
        <color theme="0" tint="-0.14993743705557422"/>
      </bottom>
      <diagonal/>
    </border>
    <border>
      <left/>
      <right style="thin">
        <color theme="0" tint="-0.34998626667073579"/>
      </right>
      <top style="thin">
        <color theme="0" tint="-0.34998626667073579"/>
      </top>
      <bottom style="thin">
        <color theme="0" tint="-0.14993743705557422"/>
      </bottom>
      <diagonal/>
    </border>
    <border>
      <left/>
      <right style="thin">
        <color theme="0" tint="-0.34998626667073579"/>
      </right>
      <top/>
      <bottom style="thin">
        <color theme="0" tint="-0.14993743705557422"/>
      </bottom>
      <diagonal/>
    </border>
    <border>
      <left/>
      <right/>
      <top style="thin">
        <color theme="0" tint="-0.34998626667073579"/>
      </top>
      <bottom style="thin">
        <color theme="0" tint="-0.14993743705557422"/>
      </bottom>
      <diagonal/>
    </border>
    <border>
      <left style="thin">
        <color theme="0" tint="-0.14990691854609822"/>
      </left>
      <right style="thin">
        <color theme="0" tint="-0.14990691854609822"/>
      </right>
      <top style="thin">
        <color theme="0" tint="-0.14993743705557422"/>
      </top>
      <bottom style="thin">
        <color theme="0" tint="-0.14990691854609822"/>
      </bottom>
      <diagonal/>
    </border>
    <border>
      <left style="thin">
        <color theme="0" tint="-0.14990691854609822"/>
      </left>
      <right style="thin">
        <color theme="0" tint="-0.14993743705557422"/>
      </right>
      <top style="thin">
        <color theme="0" tint="-0.14993743705557422"/>
      </top>
      <bottom style="thin">
        <color theme="0" tint="-0.14990691854609822"/>
      </bottom>
      <diagonal/>
    </border>
    <border>
      <left style="thin">
        <color theme="0" tint="-0.14990691854609822"/>
      </left>
      <right style="thin">
        <color theme="0" tint="-0.14990691854609822"/>
      </right>
      <top style="thin">
        <color theme="0" tint="-0.14990691854609822"/>
      </top>
      <bottom style="thin">
        <color theme="0" tint="-0.14990691854609822"/>
      </bottom>
      <diagonal/>
    </border>
    <border>
      <left style="thin">
        <color theme="0" tint="-0.14990691854609822"/>
      </left>
      <right style="thin">
        <color theme="0" tint="-0.14990691854609822"/>
      </right>
      <top style="thin">
        <color theme="0" tint="-0.14990691854609822"/>
      </top>
      <bottom style="thin">
        <color theme="0" tint="-0.14993743705557422"/>
      </bottom>
      <diagonal/>
    </border>
    <border>
      <left style="thin">
        <color theme="0" tint="-0.14990691854609822"/>
      </left>
      <right style="thin">
        <color theme="0" tint="-0.14993743705557422"/>
      </right>
      <top style="thin">
        <color theme="0" tint="-0.14990691854609822"/>
      </top>
      <bottom style="thin">
        <color theme="0" tint="-0.14993743705557422"/>
      </bottom>
      <diagonal/>
    </border>
    <border>
      <left style="thin">
        <color theme="0" tint="-0.14993743705557422"/>
      </left>
      <right style="thin">
        <color theme="0" tint="-0.14993743705557422"/>
      </right>
      <top style="thin">
        <color theme="0" tint="-0.14993743705557422"/>
      </top>
      <bottom/>
      <diagonal/>
    </border>
    <border>
      <left style="thin">
        <color theme="2"/>
      </left>
      <right style="thin">
        <color theme="2"/>
      </right>
      <top style="thin">
        <color theme="2"/>
      </top>
      <bottom/>
      <diagonal/>
    </border>
    <border>
      <left style="thin">
        <color theme="0" tint="-0.14993743705557422"/>
      </left>
      <right style="thin">
        <color theme="0" tint="-0.14993743705557422"/>
      </right>
      <top/>
      <bottom style="thin">
        <color theme="0" tint="-0.14993743705557422"/>
      </bottom>
      <diagonal/>
    </border>
    <border>
      <left style="thin">
        <color theme="0" tint="-0.14993743705557422"/>
      </left>
      <right/>
      <top style="thin">
        <color theme="0" tint="-0.14993743705557422"/>
      </top>
      <bottom style="thin">
        <color theme="0" tint="-0.14993743705557422"/>
      </bottom>
      <diagonal/>
    </border>
    <border>
      <left/>
      <right style="thin">
        <color theme="0" tint="-0.14993743705557422"/>
      </right>
      <top style="thin">
        <color theme="0" tint="-0.14993743705557422"/>
      </top>
      <bottom style="thin">
        <color theme="0" tint="-0.14993743705557422"/>
      </bottom>
      <diagonal/>
    </border>
    <border>
      <left style="thin">
        <color theme="0" tint="-0.14990691854609822"/>
      </left>
      <right/>
      <top style="thin">
        <color theme="0" tint="-0.14993743705557422"/>
      </top>
      <bottom style="thin">
        <color theme="0" tint="-0.14990691854609822"/>
      </bottom>
      <diagonal/>
    </border>
    <border>
      <left style="thin">
        <color theme="0" tint="-0.14990691854609822"/>
      </left>
      <right/>
      <top/>
      <bottom style="thin">
        <color theme="0" tint="-0.14990691854609822"/>
      </bottom>
      <diagonal/>
    </border>
    <border>
      <left style="thin">
        <color theme="0" tint="-0.14990691854609822"/>
      </left>
      <right/>
      <top style="thin">
        <color theme="0" tint="-0.14990691854609822"/>
      </top>
      <bottom style="thin">
        <color theme="0" tint="-0.14993743705557422"/>
      </bottom>
      <diagonal/>
    </border>
    <border>
      <left style="thin">
        <color theme="0" tint="-0.24994659260841701"/>
      </left>
      <right/>
      <top style="thin">
        <color theme="0" tint="-0.24994659260841701"/>
      </top>
      <bottom style="thin">
        <color theme="0" tint="-0.24994659260841701"/>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style="thin">
        <color theme="0" tint="-0.14990691854609822"/>
      </left>
      <right style="thin">
        <color theme="0" tint="-0.14990691854609822"/>
      </right>
      <top/>
      <bottom style="thin">
        <color theme="0" tint="-0.14990691854609822"/>
      </bottom>
      <diagonal/>
    </border>
    <border>
      <left style="medium">
        <color indexed="64"/>
      </left>
      <right/>
      <top style="medium">
        <color indexed="64"/>
      </top>
      <bottom style="medium">
        <color indexed="64"/>
      </bottom>
      <diagonal/>
    </border>
    <border>
      <left style="thin">
        <color theme="0" tint="-0.14993743705557422"/>
      </left>
      <right style="thin">
        <color theme="0" tint="-0.14993743705557422"/>
      </right>
      <top style="medium">
        <color indexed="64"/>
      </top>
      <bottom style="medium">
        <color indexed="64"/>
      </bottom>
      <diagonal/>
    </border>
    <border>
      <left/>
      <right/>
      <top style="medium">
        <color indexed="64"/>
      </top>
      <bottom style="medium">
        <color indexed="64"/>
      </bottom>
      <diagonal/>
    </border>
    <border>
      <left/>
      <right style="thin">
        <color rgb="FFFFFFFF"/>
      </right>
      <top style="medium">
        <color indexed="64"/>
      </top>
      <bottom style="medium">
        <color indexed="64"/>
      </bottom>
      <diagonal/>
    </border>
    <border>
      <left style="thin">
        <color rgb="FFFFFFFF"/>
      </left>
      <right style="thin">
        <color rgb="FFFFFFFF"/>
      </right>
      <top style="medium">
        <color indexed="64"/>
      </top>
      <bottom style="medium">
        <color indexed="64"/>
      </bottom>
      <diagonal/>
    </border>
    <border>
      <left style="thin">
        <color rgb="FFFFFFFF"/>
      </left>
      <right style="medium">
        <color indexed="64"/>
      </right>
      <top style="medium">
        <color indexed="64"/>
      </top>
      <bottom style="medium">
        <color indexed="64"/>
      </bottom>
      <diagonal/>
    </border>
    <border>
      <left style="thin">
        <color theme="0" tint="-0.34998626667073579"/>
      </left>
      <right/>
      <top/>
      <bottom/>
      <diagonal/>
    </border>
    <border>
      <left/>
      <right style="thin">
        <color theme="0" tint="-0.34998626667073579"/>
      </right>
      <top/>
      <bottom/>
      <diagonal/>
    </border>
    <border>
      <left/>
      <right/>
      <top style="thin">
        <color theme="0" tint="-0.24994659260841701"/>
      </top>
      <bottom style="thin">
        <color theme="0" tint="-0.24994659260841701"/>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0">
    <xf numFmtId="0" fontId="0" fillId="0" borderId="0"/>
    <xf numFmtId="9" fontId="10" fillId="0" borderId="0" applyFont="0" applyFill="0" applyBorder="0" applyAlignment="0" applyProtection="0"/>
    <xf numFmtId="0" fontId="12" fillId="0" borderId="0"/>
    <xf numFmtId="0" fontId="12" fillId="0" borderId="0"/>
    <xf numFmtId="0" fontId="20" fillId="0" borderId="0"/>
    <xf numFmtId="0" fontId="43" fillId="0" borderId="0"/>
    <xf numFmtId="0" fontId="67" fillId="0" borderId="0" applyNumberFormat="0" applyFill="0" applyBorder="0" applyAlignment="0" applyProtection="0"/>
    <xf numFmtId="0" fontId="76" fillId="75" borderId="0" applyNumberFormat="0" applyBorder="0" applyAlignment="0" applyProtection="0"/>
    <xf numFmtId="0" fontId="101" fillId="0" borderId="0"/>
    <xf numFmtId="0" fontId="8" fillId="0" borderId="0"/>
  </cellStyleXfs>
  <cellXfs count="1068">
    <xf numFmtId="0" fontId="0" fillId="0" borderId="0" xfId="0"/>
    <xf numFmtId="0" fontId="4" fillId="0" borderId="0" xfId="0" applyFont="1" applyAlignment="1">
      <alignment wrapText="1"/>
    </xf>
    <xf numFmtId="0" fontId="5" fillId="0" borderId="0" xfId="0" applyFont="1" applyAlignment="1">
      <alignment wrapText="1"/>
    </xf>
    <xf numFmtId="0" fontId="0" fillId="0" borderId="0" xfId="0" applyAlignment="1">
      <alignment horizontal="center"/>
    </xf>
    <xf numFmtId="0" fontId="13" fillId="0" borderId="0" xfId="0" applyFont="1"/>
    <xf numFmtId="0" fontId="7" fillId="0" borderId="0" xfId="0" applyFont="1"/>
    <xf numFmtId="0" fontId="0" fillId="0" borderId="0" xfId="0" applyAlignment="1">
      <alignment wrapText="1"/>
    </xf>
    <xf numFmtId="0" fontId="7" fillId="0" borderId="0" xfId="0" applyFont="1" applyAlignment="1">
      <alignment wrapText="1"/>
    </xf>
    <xf numFmtId="0" fontId="7" fillId="0" borderId="0" xfId="0" applyFont="1" applyFill="1" applyAlignment="1"/>
    <xf numFmtId="0" fontId="0" fillId="0" borderId="0" xfId="0"/>
    <xf numFmtId="0" fontId="5" fillId="0" borderId="0" xfId="0" applyFont="1" applyBorder="1" applyAlignment="1">
      <alignment horizontal="center" wrapText="1"/>
    </xf>
    <xf numFmtId="0" fontId="3" fillId="0" borderId="0" xfId="0" applyFont="1" applyFill="1" applyBorder="1" applyAlignment="1">
      <alignment horizontal="center" vertical="center" wrapText="1"/>
    </xf>
    <xf numFmtId="0" fontId="22" fillId="9" borderId="6" xfId="0" applyFont="1" applyFill="1" applyBorder="1" applyAlignment="1">
      <alignment horizontal="center" vertical="center" wrapText="1"/>
    </xf>
    <xf numFmtId="0" fontId="22" fillId="9" borderId="7" xfId="0" applyFont="1" applyFill="1" applyBorder="1" applyAlignment="1">
      <alignment horizontal="center" vertical="center" wrapText="1"/>
    </xf>
    <xf numFmtId="0" fontId="6" fillId="9" borderId="7" xfId="0" applyFont="1" applyFill="1" applyBorder="1" applyAlignment="1">
      <alignment horizontal="center" vertical="center" wrapText="1"/>
    </xf>
    <xf numFmtId="0" fontId="6" fillId="28" borderId="7"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9" borderId="7" xfId="0" applyFont="1" applyFill="1" applyBorder="1" applyAlignment="1">
      <alignment horizontal="center" vertical="center" wrapText="1"/>
    </xf>
    <xf numFmtId="0" fontId="4" fillId="24" borderId="5" xfId="0" applyFont="1" applyFill="1" applyBorder="1" applyAlignment="1">
      <alignment horizontal="center" wrapText="1"/>
    </xf>
    <xf numFmtId="0" fontId="4" fillId="12" borderId="5" xfId="0" applyFont="1" applyFill="1" applyBorder="1" applyAlignment="1">
      <alignment horizontal="center" wrapText="1"/>
    </xf>
    <xf numFmtId="0" fontId="4" fillId="12" borderId="5" xfId="0" applyFont="1" applyFill="1" applyBorder="1" applyAlignment="1">
      <alignment horizontal="left" wrapText="1"/>
    </xf>
    <xf numFmtId="0" fontId="4" fillId="10" borderId="5" xfId="0" applyFont="1" applyFill="1" applyBorder="1" applyAlignment="1">
      <alignment horizontal="center" wrapText="1"/>
    </xf>
    <xf numFmtId="0" fontId="4" fillId="10" borderId="5" xfId="0" applyFont="1" applyFill="1" applyBorder="1" applyAlignment="1">
      <alignment horizontal="left" wrapText="1"/>
    </xf>
    <xf numFmtId="0" fontId="4" fillId="27" borderId="5" xfId="0" applyFont="1" applyFill="1" applyBorder="1" applyAlignment="1">
      <alignment horizontal="center" wrapText="1"/>
    </xf>
    <xf numFmtId="0" fontId="4" fillId="27" borderId="5" xfId="0" applyFont="1" applyFill="1" applyBorder="1" applyAlignment="1">
      <alignment horizontal="left" wrapText="1"/>
    </xf>
    <xf numFmtId="0" fontId="4" fillId="24" borderId="5" xfId="0" applyFont="1" applyFill="1" applyBorder="1" applyAlignment="1">
      <alignment horizontal="left" wrapText="1"/>
    </xf>
    <xf numFmtId="0" fontId="4" fillId="22" borderId="5" xfId="0" applyFont="1" applyFill="1" applyBorder="1" applyAlignment="1">
      <alignment horizontal="center" wrapText="1"/>
    </xf>
    <xf numFmtId="0" fontId="4" fillId="23" borderId="5" xfId="0" applyFont="1" applyFill="1" applyBorder="1" applyAlignment="1">
      <alignment horizontal="center" wrapText="1"/>
    </xf>
    <xf numFmtId="0" fontId="4" fillId="23" borderId="5" xfId="0" applyFont="1" applyFill="1" applyBorder="1" applyAlignment="1">
      <alignment horizontal="left" wrapText="1"/>
    </xf>
    <xf numFmtId="0" fontId="4" fillId="7" borderId="5" xfId="0" applyFont="1" applyFill="1" applyBorder="1" applyAlignment="1">
      <alignment horizontal="center" wrapText="1"/>
    </xf>
    <xf numFmtId="0" fontId="4" fillId="7" borderId="5" xfId="0" applyFont="1" applyFill="1" applyBorder="1" applyAlignment="1">
      <alignment horizontal="left" wrapText="1"/>
    </xf>
    <xf numFmtId="0" fontId="4" fillId="20" borderId="5" xfId="0" applyFont="1" applyFill="1" applyBorder="1" applyAlignment="1">
      <alignment horizontal="center" wrapText="1"/>
    </xf>
    <xf numFmtId="0" fontId="4" fillId="20" borderId="5" xfId="0" applyFont="1" applyFill="1" applyBorder="1" applyAlignment="1">
      <alignment horizontal="left" wrapText="1"/>
    </xf>
    <xf numFmtId="0" fontId="4" fillId="21" borderId="5" xfId="0" applyFont="1" applyFill="1" applyBorder="1" applyAlignment="1">
      <alignment horizontal="center" wrapText="1"/>
    </xf>
    <xf numFmtId="0" fontId="4" fillId="0" borderId="0" xfId="0" applyFont="1" applyFill="1" applyBorder="1" applyAlignment="1">
      <alignment horizontal="center" wrapText="1"/>
    </xf>
    <xf numFmtId="0" fontId="6" fillId="3" borderId="7" xfId="0" applyFont="1" applyFill="1" applyBorder="1" applyAlignment="1">
      <alignment horizontal="center" vertical="center" wrapText="1"/>
    </xf>
    <xf numFmtId="0" fontId="3" fillId="31" borderId="8" xfId="0" applyFont="1" applyFill="1" applyBorder="1" applyAlignment="1">
      <alignment horizontal="center" vertical="center" wrapText="1"/>
    </xf>
    <xf numFmtId="0" fontId="7" fillId="0" borderId="0" xfId="0" applyFont="1" applyBorder="1" applyAlignment="1">
      <alignment horizontal="left" wrapText="1"/>
    </xf>
    <xf numFmtId="0" fontId="5" fillId="0" borderId="0" xfId="0" applyFont="1" applyBorder="1" applyAlignment="1">
      <alignment horizontal="left" wrapText="1"/>
    </xf>
    <xf numFmtId="0" fontId="4" fillId="22" borderId="5" xfId="0" applyFont="1" applyFill="1" applyBorder="1" applyAlignment="1">
      <alignment horizontal="left" wrapText="1"/>
    </xf>
    <xf numFmtId="0" fontId="4" fillId="21" borderId="5" xfId="0" applyFont="1" applyFill="1" applyBorder="1" applyAlignment="1">
      <alignment horizontal="left" wrapText="1"/>
    </xf>
    <xf numFmtId="0" fontId="4" fillId="0" borderId="0" xfId="0" applyFont="1" applyFill="1" applyBorder="1" applyAlignment="1">
      <alignment horizontal="left" wrapText="1"/>
    </xf>
    <xf numFmtId="0" fontId="21" fillId="0" borderId="0" xfId="0" applyFont="1" applyFill="1" applyBorder="1" applyAlignment="1">
      <alignment horizontal="left" wrapText="1"/>
    </xf>
    <xf numFmtId="0" fontId="4" fillId="0" borderId="0" xfId="0" applyFont="1" applyBorder="1" applyAlignment="1">
      <alignment horizontal="left" wrapText="1"/>
    </xf>
    <xf numFmtId="0" fontId="5" fillId="0" borderId="0" xfId="0" applyFont="1" applyFill="1" applyBorder="1" applyAlignment="1">
      <alignment horizontal="left" wrapText="1"/>
    </xf>
    <xf numFmtId="0" fontId="3" fillId="0" borderId="0" xfId="0" applyFont="1" applyFill="1" applyBorder="1" applyAlignment="1">
      <alignment horizontal="left" wrapText="1"/>
    </xf>
    <xf numFmtId="0" fontId="21" fillId="24" borderId="2" xfId="0" applyFont="1" applyFill="1" applyBorder="1" applyAlignment="1">
      <alignment horizontal="left" wrapText="1"/>
    </xf>
    <xf numFmtId="0" fontId="21" fillId="24" borderId="5" xfId="0" applyFont="1" applyFill="1" applyBorder="1" applyAlignment="1">
      <alignment horizontal="left" wrapText="1"/>
    </xf>
    <xf numFmtId="0" fontId="16" fillId="13" borderId="5" xfId="0" applyFont="1" applyFill="1" applyBorder="1" applyAlignment="1">
      <alignment horizontal="left" wrapText="1"/>
    </xf>
    <xf numFmtId="0" fontId="8" fillId="24" borderId="5" xfId="0" applyFont="1" applyFill="1" applyBorder="1" applyAlignment="1">
      <alignment horizontal="left" wrapText="1"/>
    </xf>
    <xf numFmtId="0" fontId="17" fillId="24" borderId="5" xfId="0" applyFont="1" applyFill="1" applyBorder="1" applyAlignment="1">
      <alignment horizontal="left" wrapText="1"/>
    </xf>
    <xf numFmtId="0" fontId="20" fillId="24" borderId="5" xfId="0" applyFont="1" applyFill="1" applyBorder="1" applyAlignment="1">
      <alignment horizontal="left" wrapText="1"/>
    </xf>
    <xf numFmtId="0" fontId="21" fillId="12" borderId="2" xfId="0" applyFont="1" applyFill="1" applyBorder="1" applyAlignment="1">
      <alignment horizontal="left" wrapText="1"/>
    </xf>
    <xf numFmtId="0" fontId="21" fillId="12" borderId="5" xfId="0" applyFont="1" applyFill="1" applyBorder="1" applyAlignment="1">
      <alignment horizontal="left" wrapText="1"/>
    </xf>
    <xf numFmtId="0" fontId="5" fillId="11" borderId="5" xfId="0" applyFont="1" applyFill="1" applyBorder="1" applyAlignment="1">
      <alignment horizontal="left" wrapText="1"/>
    </xf>
    <xf numFmtId="0" fontId="8" fillId="12" borderId="5" xfId="0" applyFont="1" applyFill="1" applyBorder="1" applyAlignment="1">
      <alignment horizontal="left" wrapText="1"/>
    </xf>
    <xf numFmtId="0" fontId="21" fillId="10" borderId="2" xfId="0" applyFont="1" applyFill="1" applyBorder="1" applyAlignment="1">
      <alignment horizontal="left" wrapText="1"/>
    </xf>
    <xf numFmtId="0" fontId="21" fillId="10" borderId="5" xfId="0" applyFont="1" applyFill="1" applyBorder="1" applyAlignment="1">
      <alignment horizontal="left" wrapText="1"/>
    </xf>
    <xf numFmtId="0" fontId="5" fillId="15" borderId="5" xfId="0" applyFont="1" applyFill="1" applyBorder="1" applyAlignment="1">
      <alignment horizontal="left" wrapText="1"/>
    </xf>
    <xf numFmtId="0" fontId="8" fillId="10" borderId="5" xfId="0" applyFont="1" applyFill="1" applyBorder="1" applyAlignment="1">
      <alignment horizontal="left" wrapText="1"/>
    </xf>
    <xf numFmtId="0" fontId="17" fillId="10" borderId="5" xfId="0" applyFont="1" applyFill="1" applyBorder="1" applyAlignment="1">
      <alignment horizontal="left" wrapText="1"/>
    </xf>
    <xf numFmtId="0" fontId="21" fillId="27" borderId="2" xfId="0" applyFont="1" applyFill="1" applyBorder="1" applyAlignment="1">
      <alignment horizontal="left" wrapText="1"/>
    </xf>
    <xf numFmtId="0" fontId="21" fillId="27" borderId="5" xfId="0" applyFont="1" applyFill="1" applyBorder="1" applyAlignment="1">
      <alignment horizontal="left" wrapText="1"/>
    </xf>
    <xf numFmtId="0" fontId="5" fillId="14" borderId="5" xfId="0" applyFont="1" applyFill="1" applyBorder="1" applyAlignment="1">
      <alignment horizontal="left" wrapText="1"/>
    </xf>
    <xf numFmtId="0" fontId="8" fillId="27" borderId="5" xfId="0" applyFont="1" applyFill="1" applyBorder="1" applyAlignment="1">
      <alignment horizontal="left" wrapText="1"/>
    </xf>
    <xf numFmtId="0" fontId="19" fillId="27" borderId="5" xfId="0" applyFont="1" applyFill="1" applyBorder="1" applyAlignment="1">
      <alignment horizontal="left" wrapText="1"/>
    </xf>
    <xf numFmtId="0" fontId="5" fillId="19" borderId="5" xfId="0" applyFont="1" applyFill="1" applyBorder="1" applyAlignment="1">
      <alignment horizontal="left" wrapText="1"/>
    </xf>
    <xf numFmtId="0" fontId="21" fillId="22" borderId="2" xfId="0" applyFont="1" applyFill="1" applyBorder="1" applyAlignment="1">
      <alignment horizontal="left" wrapText="1"/>
    </xf>
    <xf numFmtId="0" fontId="21" fillId="22" borderId="5" xfId="0" applyFont="1" applyFill="1" applyBorder="1" applyAlignment="1">
      <alignment horizontal="left" wrapText="1"/>
    </xf>
    <xf numFmtId="0" fontId="5" fillId="25" borderId="5" xfId="0" applyFont="1" applyFill="1" applyBorder="1" applyAlignment="1">
      <alignment horizontal="left" wrapText="1"/>
    </xf>
    <xf numFmtId="0" fontId="8" fillId="22" borderId="5" xfId="0" applyFont="1" applyFill="1" applyBorder="1" applyAlignment="1">
      <alignment horizontal="left" wrapText="1"/>
    </xf>
    <xf numFmtId="0" fontId="21" fillId="23" borderId="2" xfId="0" applyFont="1" applyFill="1" applyBorder="1" applyAlignment="1">
      <alignment horizontal="left" wrapText="1"/>
    </xf>
    <xf numFmtId="0" fontId="21" fillId="23" borderId="5" xfId="0" applyFont="1" applyFill="1" applyBorder="1" applyAlignment="1">
      <alignment horizontal="left" wrapText="1"/>
    </xf>
    <xf numFmtId="0" fontId="16" fillId="17" borderId="5" xfId="0" applyFont="1" applyFill="1" applyBorder="1" applyAlignment="1">
      <alignment horizontal="left" wrapText="1"/>
    </xf>
    <xf numFmtId="0" fontId="8" fillId="23" borderId="5" xfId="0" applyFont="1" applyFill="1" applyBorder="1" applyAlignment="1">
      <alignment horizontal="left" wrapText="1"/>
    </xf>
    <xf numFmtId="0" fontId="23" fillId="23" borderId="2" xfId="0" applyFont="1" applyFill="1" applyBorder="1" applyAlignment="1">
      <alignment horizontal="left" wrapText="1"/>
    </xf>
    <xf numFmtId="0" fontId="21" fillId="7" borderId="2" xfId="0" applyFont="1" applyFill="1" applyBorder="1" applyAlignment="1">
      <alignment horizontal="left" wrapText="1"/>
    </xf>
    <xf numFmtId="0" fontId="21" fillId="7" borderId="5" xfId="0" applyFont="1" applyFill="1" applyBorder="1" applyAlignment="1">
      <alignment horizontal="left" wrapText="1"/>
    </xf>
    <xf numFmtId="0" fontId="5" fillId="26" borderId="5" xfId="0" applyFont="1" applyFill="1" applyBorder="1" applyAlignment="1">
      <alignment horizontal="left" wrapText="1"/>
    </xf>
    <xf numFmtId="0" fontId="8" fillId="7" borderId="5" xfId="0" applyFont="1" applyFill="1" applyBorder="1" applyAlignment="1">
      <alignment horizontal="left" wrapText="1"/>
    </xf>
    <xf numFmtId="0" fontId="23" fillId="7" borderId="2" xfId="0" applyFont="1" applyFill="1" applyBorder="1" applyAlignment="1">
      <alignment horizontal="left" wrapText="1"/>
    </xf>
    <xf numFmtId="0" fontId="21" fillId="20" borderId="2" xfId="0" applyFont="1" applyFill="1" applyBorder="1" applyAlignment="1">
      <alignment horizontal="left" wrapText="1"/>
    </xf>
    <xf numFmtId="0" fontId="21" fillId="20" borderId="5" xfId="0" applyFont="1" applyFill="1" applyBorder="1" applyAlignment="1">
      <alignment horizontal="left" wrapText="1"/>
    </xf>
    <xf numFmtId="0" fontId="16" fillId="18" borderId="5" xfId="0" applyFont="1" applyFill="1" applyBorder="1" applyAlignment="1">
      <alignment horizontal="left" wrapText="1"/>
    </xf>
    <xf numFmtId="0" fontId="8" fillId="20" borderId="5" xfId="0" applyFont="1" applyFill="1" applyBorder="1" applyAlignment="1">
      <alignment horizontal="left" wrapText="1"/>
    </xf>
    <xf numFmtId="0" fontId="16" fillId="16" borderId="5" xfId="0" applyFont="1" applyFill="1" applyBorder="1" applyAlignment="1">
      <alignment horizontal="left" wrapText="1"/>
    </xf>
    <xf numFmtId="0" fontId="15" fillId="19" borderId="5" xfId="0" applyFont="1" applyFill="1" applyBorder="1" applyAlignment="1">
      <alignment horizontal="left" wrapText="1"/>
    </xf>
    <xf numFmtId="0" fontId="16" fillId="30" borderId="5" xfId="0" applyFont="1" applyFill="1" applyBorder="1" applyAlignment="1">
      <alignment horizontal="left" wrapText="1"/>
    </xf>
    <xf numFmtId="0" fontId="21" fillId="21" borderId="2" xfId="0" applyFont="1" applyFill="1" applyBorder="1" applyAlignment="1">
      <alignment horizontal="left" wrapText="1"/>
    </xf>
    <xf numFmtId="0" fontId="21" fillId="21" borderId="5" xfId="0" applyFont="1" applyFill="1" applyBorder="1" applyAlignment="1">
      <alignment horizontal="left" wrapText="1"/>
    </xf>
    <xf numFmtId="0" fontId="5" fillId="8" borderId="5" xfId="0" applyFont="1" applyFill="1" applyBorder="1" applyAlignment="1">
      <alignment horizontal="left" wrapText="1"/>
    </xf>
    <xf numFmtId="0" fontId="8" fillId="21" borderId="5" xfId="0" applyFont="1" applyFill="1" applyBorder="1" applyAlignment="1">
      <alignment horizontal="left" wrapText="1"/>
    </xf>
    <xf numFmtId="0" fontId="4" fillId="21" borderId="5" xfId="0" quotePrefix="1" applyFont="1" applyFill="1" applyBorder="1" applyAlignment="1">
      <alignment horizontal="left" wrapText="1"/>
    </xf>
    <xf numFmtId="0" fontId="21" fillId="10" borderId="9" xfId="0" applyFont="1" applyFill="1" applyBorder="1" applyAlignment="1">
      <alignment horizontal="left" wrapText="1"/>
    </xf>
    <xf numFmtId="0" fontId="21" fillId="22" borderId="1" xfId="0" applyFont="1" applyFill="1" applyBorder="1" applyAlignment="1">
      <alignment horizontal="left" wrapText="1"/>
    </xf>
    <xf numFmtId="0" fontId="5" fillId="15" borderId="1" xfId="0" applyFont="1" applyFill="1" applyBorder="1" applyAlignment="1">
      <alignment horizontal="left" wrapText="1"/>
    </xf>
    <xf numFmtId="0" fontId="4" fillId="10" borderId="1" xfId="0" applyFont="1" applyFill="1" applyBorder="1" applyAlignment="1">
      <alignment horizontal="left" wrapText="1"/>
    </xf>
    <xf numFmtId="0" fontId="5" fillId="0" borderId="0" xfId="0" applyFont="1" applyFill="1" applyBorder="1" applyAlignment="1">
      <alignment horizontal="center" wrapText="1"/>
    </xf>
    <xf numFmtId="0" fontId="8" fillId="21" borderId="5" xfId="0" applyFont="1" applyFill="1" applyBorder="1" applyAlignment="1">
      <alignment horizontal="center" wrapText="1"/>
    </xf>
    <xf numFmtId="0" fontId="4" fillId="22" borderId="1" xfId="0" applyFont="1" applyFill="1" applyBorder="1" applyAlignment="1">
      <alignment horizontal="center" wrapText="1"/>
    </xf>
    <xf numFmtId="0" fontId="4" fillId="33" borderId="0" xfId="0" applyFont="1" applyFill="1" applyBorder="1" applyAlignment="1">
      <alignment horizontal="left" wrapText="1"/>
    </xf>
    <xf numFmtId="0" fontId="0" fillId="34" borderId="3" xfId="0" applyFill="1" applyBorder="1" applyAlignment="1">
      <alignment horizontal="center" vertical="center" wrapText="1"/>
    </xf>
    <xf numFmtId="0" fontId="7" fillId="0" borderId="0" xfId="0" applyFont="1" applyFill="1" applyBorder="1" applyAlignment="1">
      <alignment horizontal="left" wrapText="1"/>
    </xf>
    <xf numFmtId="0" fontId="7" fillId="0" borderId="0" xfId="0" applyFont="1" applyFill="1" applyAlignment="1">
      <alignment horizontal="center" vertical="center" wrapText="1"/>
    </xf>
    <xf numFmtId="0" fontId="24" fillId="0" borderId="12" xfId="0" applyFont="1" applyFill="1" applyBorder="1" applyAlignment="1">
      <alignment horizontal="center" vertical="center" wrapText="1"/>
    </xf>
    <xf numFmtId="0" fontId="0" fillId="0" borderId="0" xfId="0" applyFill="1" applyAlignment="1">
      <alignment horizontal="center" vertical="center" wrapText="1"/>
    </xf>
    <xf numFmtId="0" fontId="27" fillId="0" borderId="13" xfId="0" applyFont="1" applyBorder="1" applyAlignment="1">
      <alignment wrapText="1"/>
    </xf>
    <xf numFmtId="0" fontId="27" fillId="0" borderId="14" xfId="0" applyFont="1" applyBorder="1" applyAlignment="1">
      <alignment wrapText="1"/>
    </xf>
    <xf numFmtId="0" fontId="30" fillId="0" borderId="0" xfId="0" applyFont="1" applyAlignment="1">
      <alignment horizontal="center" vertical="center" wrapText="1" readingOrder="1"/>
    </xf>
    <xf numFmtId="0" fontId="1" fillId="0" borderId="20" xfId="0" applyFont="1" applyBorder="1" applyAlignment="1">
      <alignment horizontal="center" vertical="center" wrapText="1" readingOrder="1"/>
    </xf>
    <xf numFmtId="0" fontId="1" fillId="0" borderId="0" xfId="0" applyFont="1" applyAlignment="1">
      <alignment horizontal="center" vertical="center" wrapText="1" readingOrder="1"/>
    </xf>
    <xf numFmtId="0" fontId="1" fillId="0" borderId="13" xfId="0" applyFont="1" applyBorder="1" applyAlignment="1">
      <alignment horizontal="center" vertical="center" wrapText="1" readingOrder="1"/>
    </xf>
    <xf numFmtId="0" fontId="25" fillId="0" borderId="0" xfId="0" applyFont="1"/>
    <xf numFmtId="0" fontId="36" fillId="9" borderId="27" xfId="0" applyFont="1" applyFill="1" applyBorder="1" applyAlignment="1">
      <alignment horizontal="center" vertical="center" wrapText="1"/>
    </xf>
    <xf numFmtId="0" fontId="36" fillId="4" borderId="28" xfId="0" applyFont="1" applyFill="1" applyBorder="1" applyAlignment="1">
      <alignment horizontal="center" vertical="center" wrapText="1"/>
    </xf>
    <xf numFmtId="0" fontId="36" fillId="2" borderId="29" xfId="0" applyFont="1" applyFill="1" applyBorder="1" applyAlignment="1">
      <alignment horizontal="center" vertical="center" wrapText="1"/>
    </xf>
    <xf numFmtId="0" fontId="36" fillId="5" borderId="29" xfId="0" applyFont="1" applyFill="1" applyBorder="1" applyAlignment="1">
      <alignment horizontal="center" vertical="center" wrapText="1"/>
    </xf>
    <xf numFmtId="0" fontId="36" fillId="6" borderId="29" xfId="0" applyFont="1" applyFill="1" applyBorder="1" applyAlignment="1">
      <alignment horizontal="center" vertical="center" wrapText="1"/>
    </xf>
    <xf numFmtId="0" fontId="36" fillId="3" borderId="29" xfId="0" applyFont="1" applyFill="1" applyBorder="1" applyAlignment="1">
      <alignment horizontal="center" vertical="center" wrapText="1"/>
    </xf>
    <xf numFmtId="0" fontId="36" fillId="31" borderId="0" xfId="0" applyFont="1" applyFill="1" applyAlignment="1">
      <alignment horizontal="center" vertical="center" wrapText="1"/>
    </xf>
    <xf numFmtId="0" fontId="5" fillId="42" borderId="27" xfId="0" applyFont="1" applyFill="1" applyBorder="1" applyAlignment="1">
      <alignment horizontal="center" vertical="center" wrapText="1"/>
    </xf>
    <xf numFmtId="0" fontId="4" fillId="0" borderId="27" xfId="0" applyFont="1" applyBorder="1" applyAlignment="1">
      <alignment horizontal="center" vertical="center" wrapText="1"/>
    </xf>
    <xf numFmtId="0" fontId="37" fillId="4" borderId="27"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5" borderId="27" xfId="0" applyFont="1" applyFill="1" applyBorder="1" applyAlignment="1">
      <alignment horizontal="center" vertical="center" wrapText="1"/>
    </xf>
    <xf numFmtId="0" fontId="3" fillId="6" borderId="27" xfId="0" applyFont="1" applyFill="1" applyBorder="1" applyAlignment="1">
      <alignment horizontal="center" vertical="center" wrapText="1"/>
    </xf>
    <xf numFmtId="0" fontId="3" fillId="3" borderId="27" xfId="0" applyFont="1" applyFill="1" applyBorder="1" applyAlignment="1">
      <alignment horizontal="center" vertical="center" wrapText="1"/>
    </xf>
    <xf numFmtId="0" fontId="4" fillId="42" borderId="27" xfId="0" applyFont="1" applyFill="1" applyBorder="1" applyAlignment="1">
      <alignment horizontal="center" vertical="center" wrapText="1"/>
    </xf>
    <xf numFmtId="0" fontId="20" fillId="0" borderId="27" xfId="0" applyFont="1" applyBorder="1" applyAlignment="1">
      <alignment horizontal="center" vertical="center" wrapText="1"/>
    </xf>
    <xf numFmtId="0" fontId="38" fillId="4" borderId="30" xfId="0" applyFont="1" applyFill="1" applyBorder="1" applyAlignment="1">
      <alignment horizontal="center" vertical="center" wrapText="1"/>
    </xf>
    <xf numFmtId="0" fontId="39" fillId="2" borderId="30" xfId="0" applyFont="1" applyFill="1" applyBorder="1" applyAlignment="1">
      <alignment horizontal="center" vertical="center" wrapText="1"/>
    </xf>
    <xf numFmtId="0" fontId="39" fillId="5" borderId="30" xfId="0" applyFont="1" applyFill="1" applyBorder="1" applyAlignment="1">
      <alignment horizontal="center" vertical="center" wrapText="1"/>
    </xf>
    <xf numFmtId="0" fontId="39" fillId="6" borderId="30" xfId="0" applyFont="1" applyFill="1" applyBorder="1" applyAlignment="1">
      <alignment horizontal="center" vertical="center" wrapText="1"/>
    </xf>
    <xf numFmtId="0" fontId="39" fillId="3" borderId="30" xfId="0" applyFont="1" applyFill="1" applyBorder="1" applyAlignment="1">
      <alignment horizontal="center" vertical="center" wrapText="1"/>
    </xf>
    <xf numFmtId="0" fontId="40" fillId="0" borderId="0" xfId="0" applyFont="1" applyAlignment="1">
      <alignment wrapText="1"/>
    </xf>
    <xf numFmtId="0" fontId="4" fillId="43" borderId="27" xfId="0" applyFont="1" applyFill="1" applyBorder="1" applyAlignment="1">
      <alignment horizontal="center" vertical="center" wrapText="1"/>
    </xf>
    <xf numFmtId="0" fontId="40" fillId="43" borderId="27" xfId="0" applyFont="1" applyFill="1" applyBorder="1" applyAlignment="1">
      <alignment horizontal="center" vertical="center" wrapText="1"/>
    </xf>
    <xf numFmtId="9" fontId="37" fillId="4" borderId="27" xfId="1" applyFont="1" applyFill="1" applyBorder="1" applyAlignment="1">
      <alignment horizontal="center" vertical="center" wrapText="1"/>
    </xf>
    <xf numFmtId="0" fontId="3" fillId="28" borderId="27" xfId="0" applyFont="1" applyFill="1" applyBorder="1" applyAlignment="1">
      <alignment horizontal="center" vertical="center" wrapText="1"/>
    </xf>
    <xf numFmtId="0" fontId="3" fillId="32" borderId="27" xfId="0" applyFont="1" applyFill="1" applyBorder="1" applyAlignment="1">
      <alignment horizontal="center" vertical="center" wrapText="1"/>
    </xf>
    <xf numFmtId="0" fontId="4" fillId="0" borderId="0" xfId="0" applyFont="1" applyAlignment="1">
      <alignment horizontal="center" wrapText="1"/>
    </xf>
    <xf numFmtId="49" fontId="37" fillId="4" borderId="27" xfId="0" applyNumberFormat="1" applyFont="1" applyFill="1" applyBorder="1" applyAlignment="1">
      <alignment horizontal="center" vertical="center" wrapText="1"/>
    </xf>
    <xf numFmtId="0" fontId="4" fillId="42" borderId="0" xfId="0" applyFont="1" applyFill="1" applyAlignment="1">
      <alignment wrapText="1"/>
    </xf>
    <xf numFmtId="0" fontId="4" fillId="43" borderId="0" xfId="0" applyFont="1" applyFill="1" applyAlignment="1">
      <alignment wrapText="1"/>
    </xf>
    <xf numFmtId="0" fontId="4" fillId="29" borderId="0" xfId="0" applyFont="1" applyFill="1" applyAlignment="1">
      <alignment wrapText="1"/>
    </xf>
    <xf numFmtId="0" fontId="6" fillId="9" borderId="31" xfId="0" applyFont="1" applyFill="1" applyBorder="1" applyAlignment="1">
      <alignment horizontal="left" vertical="center" wrapText="1"/>
    </xf>
    <xf numFmtId="0" fontId="4" fillId="0" borderId="0" xfId="0" applyFont="1" applyAlignment="1">
      <alignment vertical="center" wrapText="1"/>
    </xf>
    <xf numFmtId="0" fontId="44" fillId="44" borderId="0" xfId="5" applyFont="1" applyFill="1"/>
    <xf numFmtId="0" fontId="45" fillId="0" borderId="0" xfId="5" applyFont="1"/>
    <xf numFmtId="0" fontId="45" fillId="0" borderId="0" xfId="5" applyFont="1" applyAlignment="1">
      <alignment wrapText="1"/>
    </xf>
    <xf numFmtId="0" fontId="43" fillId="0" borderId="0" xfId="5"/>
    <xf numFmtId="49" fontId="46" fillId="0" borderId="32" xfId="5" applyNumberFormat="1" applyFont="1" applyBorder="1" applyAlignment="1">
      <alignment wrapText="1"/>
    </xf>
    <xf numFmtId="0" fontId="46" fillId="0" borderId="32" xfId="5" applyFont="1" applyBorder="1" applyAlignment="1">
      <alignment wrapText="1"/>
    </xf>
    <xf numFmtId="0" fontId="46" fillId="45" borderId="32" xfId="5" applyFont="1" applyFill="1" applyBorder="1" applyAlignment="1">
      <alignment wrapText="1"/>
    </xf>
    <xf numFmtId="0" fontId="46" fillId="46" borderId="32" xfId="5" applyFont="1" applyFill="1" applyBorder="1" applyAlignment="1">
      <alignment wrapText="1"/>
    </xf>
    <xf numFmtId="0" fontId="46" fillId="47" borderId="32" xfId="5" applyFont="1" applyFill="1" applyBorder="1" applyAlignment="1">
      <alignment wrapText="1"/>
    </xf>
    <xf numFmtId="0" fontId="47" fillId="48" borderId="32" xfId="5" applyFont="1" applyFill="1" applyBorder="1" applyAlignment="1">
      <alignment wrapText="1"/>
    </xf>
    <xf numFmtId="0" fontId="47" fillId="49" borderId="32" xfId="5" applyFont="1" applyFill="1" applyBorder="1" applyAlignment="1">
      <alignment wrapText="1"/>
    </xf>
    <xf numFmtId="0" fontId="46" fillId="50" borderId="32" xfId="5" applyFont="1" applyFill="1" applyBorder="1" applyAlignment="1">
      <alignment wrapText="1"/>
    </xf>
    <xf numFmtId="0" fontId="48" fillId="0" borderId="32" xfId="5" applyFont="1" applyBorder="1" applyAlignment="1">
      <alignment horizontal="right" wrapText="1"/>
    </xf>
    <xf numFmtId="0" fontId="48" fillId="51" borderId="32" xfId="5" applyFont="1" applyFill="1" applyBorder="1" applyAlignment="1">
      <alignment wrapText="1"/>
    </xf>
    <xf numFmtId="0" fontId="45" fillId="51" borderId="32" xfId="5" applyFont="1" applyFill="1" applyBorder="1" applyAlignment="1">
      <alignment wrapText="1"/>
    </xf>
    <xf numFmtId="0" fontId="49" fillId="51" borderId="32" xfId="5" applyFont="1" applyFill="1" applyBorder="1" applyAlignment="1">
      <alignment wrapText="1"/>
    </xf>
    <xf numFmtId="0" fontId="45" fillId="51" borderId="32" xfId="5" applyFont="1" applyFill="1" applyBorder="1" applyAlignment="1">
      <alignment horizontal="right" wrapText="1"/>
    </xf>
    <xf numFmtId="0" fontId="43" fillId="51" borderId="32" xfId="5" applyFill="1" applyBorder="1" applyAlignment="1">
      <alignment wrapText="1"/>
    </xf>
    <xf numFmtId="0" fontId="45" fillId="52" borderId="32" xfId="5" applyFont="1" applyFill="1" applyBorder="1" applyAlignment="1">
      <alignment wrapText="1"/>
    </xf>
    <xf numFmtId="0" fontId="43" fillId="52" borderId="32" xfId="5" applyFill="1" applyBorder="1" applyAlignment="1">
      <alignment wrapText="1"/>
    </xf>
    <xf numFmtId="0" fontId="45" fillId="52" borderId="32" xfId="5" applyFont="1" applyFill="1" applyBorder="1" applyAlignment="1">
      <alignment horizontal="right" wrapText="1"/>
    </xf>
    <xf numFmtId="0" fontId="45" fillId="53" borderId="32" xfId="5" applyFont="1" applyFill="1" applyBorder="1" applyAlignment="1">
      <alignment wrapText="1"/>
    </xf>
    <xf numFmtId="0" fontId="45" fillId="53" borderId="32" xfId="5" applyFont="1" applyFill="1" applyBorder="1" applyAlignment="1">
      <alignment horizontal="right" wrapText="1"/>
    </xf>
    <xf numFmtId="0" fontId="43" fillId="53" borderId="32" xfId="5" applyFill="1" applyBorder="1" applyAlignment="1">
      <alignment wrapText="1"/>
    </xf>
    <xf numFmtId="0" fontId="45" fillId="0" borderId="32" xfId="5" applyFont="1" applyBorder="1" applyAlignment="1">
      <alignment wrapText="1"/>
    </xf>
    <xf numFmtId="0" fontId="50" fillId="54" borderId="32" xfId="5" applyFont="1" applyFill="1" applyBorder="1" applyAlignment="1">
      <alignment wrapText="1"/>
    </xf>
    <xf numFmtId="0" fontId="49" fillId="54" borderId="32" xfId="5" applyFont="1" applyFill="1" applyBorder="1" applyAlignment="1">
      <alignment wrapText="1"/>
    </xf>
    <xf numFmtId="0" fontId="45" fillId="54" borderId="32" xfId="5" applyFont="1" applyFill="1" applyBorder="1" applyAlignment="1">
      <alignment wrapText="1"/>
    </xf>
    <xf numFmtId="0" fontId="50" fillId="54" borderId="32" xfId="5" applyFont="1" applyFill="1" applyBorder="1" applyAlignment="1">
      <alignment horizontal="right" wrapText="1"/>
    </xf>
    <xf numFmtId="0" fontId="43" fillId="52" borderId="32" xfId="5" applyFill="1" applyBorder="1" applyAlignment="1">
      <alignment horizontal="right" wrapText="1"/>
    </xf>
    <xf numFmtId="0" fontId="45" fillId="55" borderId="32" xfId="5" applyFont="1" applyFill="1" applyBorder="1" applyAlignment="1">
      <alignment wrapText="1"/>
    </xf>
    <xf numFmtId="0" fontId="43" fillId="55" borderId="32" xfId="5" applyFill="1" applyBorder="1" applyAlignment="1">
      <alignment wrapText="1"/>
    </xf>
    <xf numFmtId="0" fontId="45" fillId="55" borderId="32" xfId="5" applyFont="1" applyFill="1" applyBorder="1" applyAlignment="1">
      <alignment horizontal="right" wrapText="1"/>
    </xf>
    <xf numFmtId="0" fontId="45" fillId="56" borderId="32" xfId="5" applyFont="1" applyFill="1" applyBorder="1" applyAlignment="1">
      <alignment wrapText="1"/>
    </xf>
    <xf numFmtId="0" fontId="45" fillId="56" borderId="32" xfId="5" applyFont="1" applyFill="1" applyBorder="1" applyAlignment="1">
      <alignment horizontal="right" wrapText="1"/>
    </xf>
    <xf numFmtId="0" fontId="51" fillId="56" borderId="32" xfId="5" applyFont="1" applyFill="1" applyBorder="1" applyAlignment="1">
      <alignment wrapText="1"/>
    </xf>
    <xf numFmtId="0" fontId="45" fillId="57" borderId="32" xfId="5" applyFont="1" applyFill="1" applyBorder="1" applyAlignment="1">
      <alignment wrapText="1"/>
    </xf>
    <xf numFmtId="0" fontId="43" fillId="57" borderId="32" xfId="5" applyFill="1" applyBorder="1" applyAlignment="1">
      <alignment wrapText="1"/>
    </xf>
    <xf numFmtId="0" fontId="43" fillId="57" borderId="32" xfId="5" applyFill="1" applyBorder="1" applyAlignment="1">
      <alignment horizontal="right" wrapText="1"/>
    </xf>
    <xf numFmtId="0" fontId="45" fillId="57" borderId="32" xfId="5" applyFont="1" applyFill="1" applyBorder="1" applyAlignment="1">
      <alignment horizontal="right" wrapText="1"/>
    </xf>
    <xf numFmtId="0" fontId="45" fillId="58" borderId="32" xfId="5" applyFont="1" applyFill="1" applyBorder="1" applyAlignment="1">
      <alignment wrapText="1"/>
    </xf>
    <xf numFmtId="0" fontId="45" fillId="58" borderId="32" xfId="5" applyFont="1" applyFill="1" applyBorder="1" applyAlignment="1">
      <alignment horizontal="right" wrapText="1"/>
    </xf>
    <xf numFmtId="0" fontId="4" fillId="0" borderId="0" xfId="5" applyFont="1" applyAlignment="1">
      <alignment horizontal="left" vertical="center"/>
    </xf>
    <xf numFmtId="0" fontId="4" fillId="0" borderId="0" xfId="5" applyFont="1" applyAlignment="1">
      <alignment horizontal="left" vertical="center" wrapText="1"/>
    </xf>
    <xf numFmtId="0" fontId="43" fillId="0" borderId="0" xfId="5" applyAlignment="1">
      <alignment horizontal="left" vertical="center" wrapText="1"/>
    </xf>
    <xf numFmtId="0" fontId="43" fillId="0" borderId="0" xfId="5" applyAlignment="1">
      <alignment horizontal="left" vertical="center"/>
    </xf>
    <xf numFmtId="49" fontId="5" fillId="0" borderId="32" xfId="5" applyNumberFormat="1" applyFont="1" applyBorder="1" applyAlignment="1">
      <alignment horizontal="left" vertical="center" wrapText="1"/>
    </xf>
    <xf numFmtId="0" fontId="5" fillId="0" borderId="32" xfId="5" applyFont="1" applyBorder="1" applyAlignment="1">
      <alignment horizontal="left" vertical="center" wrapText="1"/>
    </xf>
    <xf numFmtId="0" fontId="5" fillId="45" borderId="32" xfId="5" applyFont="1" applyFill="1" applyBorder="1" applyAlignment="1">
      <alignment horizontal="left" vertical="center" wrapText="1"/>
    </xf>
    <xf numFmtId="0" fontId="5" fillId="46" borderId="32" xfId="5" applyFont="1" applyFill="1" applyBorder="1" applyAlignment="1">
      <alignment horizontal="left" vertical="center" wrapText="1"/>
    </xf>
    <xf numFmtId="0" fontId="5" fillId="47" borderId="32" xfId="5" applyFont="1" applyFill="1" applyBorder="1" applyAlignment="1">
      <alignment horizontal="left" vertical="center" wrapText="1"/>
    </xf>
    <xf numFmtId="0" fontId="52" fillId="48" borderId="32" xfId="5" applyFont="1" applyFill="1" applyBorder="1" applyAlignment="1">
      <alignment horizontal="left" vertical="center" wrapText="1"/>
    </xf>
    <xf numFmtId="0" fontId="52" fillId="49" borderId="32" xfId="5" applyFont="1" applyFill="1" applyBorder="1" applyAlignment="1">
      <alignment horizontal="left" vertical="center" wrapText="1"/>
    </xf>
    <xf numFmtId="0" fontId="5" fillId="50" borderId="33" xfId="5" applyFont="1" applyFill="1" applyBorder="1" applyAlignment="1">
      <alignment horizontal="left" vertical="center" wrapText="1"/>
    </xf>
    <xf numFmtId="0" fontId="16" fillId="43" borderId="31" xfId="5" applyFont="1" applyFill="1" applyBorder="1" applyAlignment="1">
      <alignment horizontal="left" vertical="center" wrapText="1"/>
    </xf>
    <xf numFmtId="0" fontId="53" fillId="0" borderId="32" xfId="5" applyFont="1" applyBorder="1" applyAlignment="1">
      <alignment horizontal="left" vertical="center" wrapText="1"/>
    </xf>
    <xf numFmtId="0" fontId="53" fillId="51" borderId="32" xfId="5" applyFont="1" applyFill="1" applyBorder="1" applyAlignment="1">
      <alignment horizontal="left" vertical="center" wrapText="1"/>
    </xf>
    <xf numFmtId="0" fontId="4" fillId="51" borderId="32" xfId="5" applyFont="1" applyFill="1" applyBorder="1" applyAlignment="1">
      <alignment horizontal="left" vertical="center" wrapText="1"/>
    </xf>
    <xf numFmtId="0" fontId="54" fillId="51" borderId="32" xfId="5" applyFont="1" applyFill="1" applyBorder="1" applyAlignment="1">
      <alignment horizontal="left" vertical="center" wrapText="1"/>
    </xf>
    <xf numFmtId="0" fontId="8" fillId="51" borderId="32" xfId="5" applyFont="1" applyFill="1" applyBorder="1" applyAlignment="1">
      <alignment horizontal="left" vertical="center" wrapText="1"/>
    </xf>
    <xf numFmtId="0" fontId="4" fillId="51" borderId="33" xfId="5" applyFont="1" applyFill="1" applyBorder="1" applyAlignment="1">
      <alignment horizontal="left" vertical="center" wrapText="1"/>
    </xf>
    <xf numFmtId="0" fontId="4" fillId="59" borderId="31" xfId="5" applyFont="1" applyFill="1" applyBorder="1" applyAlignment="1">
      <alignment horizontal="left" vertical="center" wrapText="1"/>
    </xf>
    <xf numFmtId="0" fontId="8" fillId="60" borderId="31" xfId="5" applyFont="1" applyFill="1" applyBorder="1" applyAlignment="1">
      <alignment horizontal="left" vertical="center" wrapText="1"/>
    </xf>
    <xf numFmtId="0" fontId="8" fillId="61" borderId="31" xfId="5" applyFont="1" applyFill="1" applyBorder="1" applyAlignment="1">
      <alignment horizontal="left" vertical="center" wrapText="1"/>
    </xf>
    <xf numFmtId="0" fontId="20" fillId="19" borderId="31" xfId="5" applyFont="1" applyFill="1" applyBorder="1" applyAlignment="1">
      <alignment horizontal="left" vertical="center" wrapText="1"/>
    </xf>
    <xf numFmtId="0" fontId="4" fillId="52" borderId="32" xfId="5" applyFont="1" applyFill="1" applyBorder="1" applyAlignment="1">
      <alignment horizontal="left" vertical="center" wrapText="1"/>
    </xf>
    <xf numFmtId="0" fontId="8" fillId="52" borderId="32" xfId="5" applyFont="1" applyFill="1" applyBorder="1" applyAlignment="1">
      <alignment horizontal="left" vertical="center" wrapText="1"/>
    </xf>
    <xf numFmtId="0" fontId="4" fillId="52" borderId="33" xfId="5" applyFont="1" applyFill="1" applyBorder="1" applyAlignment="1">
      <alignment horizontal="left" vertical="center" wrapText="1"/>
    </xf>
    <xf numFmtId="0" fontId="43" fillId="62" borderId="31" xfId="5" applyFill="1" applyBorder="1" applyAlignment="1">
      <alignment horizontal="left" vertical="center" wrapText="1"/>
    </xf>
    <xf numFmtId="0" fontId="43" fillId="62" borderId="0" xfId="5" applyFill="1" applyAlignment="1">
      <alignment horizontal="left" vertical="center" wrapText="1"/>
    </xf>
    <xf numFmtId="0" fontId="4" fillId="53" borderId="32" xfId="5" applyFont="1" applyFill="1" applyBorder="1" applyAlignment="1">
      <alignment horizontal="left" vertical="center" wrapText="1"/>
    </xf>
    <xf numFmtId="0" fontId="8" fillId="53" borderId="32" xfId="5" applyFont="1" applyFill="1" applyBorder="1" applyAlignment="1">
      <alignment horizontal="left" vertical="center" wrapText="1"/>
    </xf>
    <xf numFmtId="0" fontId="4" fillId="53" borderId="33" xfId="5" applyFont="1" applyFill="1" applyBorder="1" applyAlignment="1">
      <alignment horizontal="left" vertical="center" wrapText="1"/>
    </xf>
    <xf numFmtId="0" fontId="4" fillId="0" borderId="32" xfId="5" applyFont="1" applyBorder="1" applyAlignment="1">
      <alignment horizontal="left" vertical="center" wrapText="1"/>
    </xf>
    <xf numFmtId="0" fontId="12" fillId="54" borderId="32" xfId="5" applyFont="1" applyFill="1" applyBorder="1" applyAlignment="1">
      <alignment horizontal="left" vertical="center" wrapText="1"/>
    </xf>
    <xf numFmtId="0" fontId="54" fillId="54" borderId="32" xfId="5" applyFont="1" applyFill="1" applyBorder="1" applyAlignment="1">
      <alignment horizontal="left" vertical="center" wrapText="1"/>
    </xf>
    <xf numFmtId="0" fontId="4" fillId="54" borderId="32" xfId="5" applyFont="1" applyFill="1" applyBorder="1" applyAlignment="1">
      <alignment horizontal="left" vertical="center" wrapText="1"/>
    </xf>
    <xf numFmtId="0" fontId="12" fillId="54" borderId="33" xfId="5" applyFont="1" applyFill="1" applyBorder="1" applyAlignment="1">
      <alignment horizontal="left" vertical="center" wrapText="1"/>
    </xf>
    <xf numFmtId="0" fontId="4" fillId="55" borderId="32" xfId="5" applyFont="1" applyFill="1" applyBorder="1" applyAlignment="1">
      <alignment horizontal="left" vertical="center" wrapText="1"/>
    </xf>
    <xf numFmtId="0" fontId="8" fillId="55" borderId="32" xfId="5" applyFont="1" applyFill="1" applyBorder="1" applyAlignment="1">
      <alignment horizontal="left" vertical="center" wrapText="1"/>
    </xf>
    <xf numFmtId="0" fontId="4" fillId="55" borderId="33" xfId="5" applyFont="1" applyFill="1" applyBorder="1" applyAlignment="1">
      <alignment horizontal="left" vertical="center" wrapText="1"/>
    </xf>
    <xf numFmtId="0" fontId="4" fillId="56" borderId="32" xfId="5" applyFont="1" applyFill="1" applyBorder="1" applyAlignment="1">
      <alignment horizontal="left" vertical="center" wrapText="1"/>
    </xf>
    <xf numFmtId="0" fontId="4" fillId="56" borderId="33" xfId="5" applyFont="1" applyFill="1" applyBorder="1" applyAlignment="1">
      <alignment horizontal="left" vertical="center" wrapText="1"/>
    </xf>
    <xf numFmtId="0" fontId="55" fillId="56" borderId="32" xfId="5" applyFont="1" applyFill="1" applyBorder="1" applyAlignment="1">
      <alignment horizontal="left" vertical="center" wrapText="1"/>
    </xf>
    <xf numFmtId="0" fontId="4" fillId="57" borderId="32" xfId="5" applyFont="1" applyFill="1" applyBorder="1" applyAlignment="1">
      <alignment horizontal="left" vertical="center" wrapText="1"/>
    </xf>
    <xf numFmtId="0" fontId="4" fillId="57" borderId="33" xfId="5" applyFont="1" applyFill="1" applyBorder="1" applyAlignment="1">
      <alignment horizontal="left" vertical="center" wrapText="1"/>
    </xf>
    <xf numFmtId="0" fontId="8" fillId="57" borderId="32" xfId="5" applyFont="1" applyFill="1" applyBorder="1" applyAlignment="1">
      <alignment horizontal="left" vertical="center" wrapText="1"/>
    </xf>
    <xf numFmtId="0" fontId="8" fillId="57" borderId="33" xfId="5" applyFont="1" applyFill="1" applyBorder="1" applyAlignment="1">
      <alignment horizontal="left" vertical="center" wrapText="1"/>
    </xf>
    <xf numFmtId="0" fontId="4" fillId="58" borderId="32" xfId="5" applyFont="1" applyFill="1" applyBorder="1" applyAlignment="1">
      <alignment horizontal="left" vertical="center" wrapText="1"/>
    </xf>
    <xf numFmtId="0" fontId="4" fillId="58" borderId="33" xfId="5" applyFont="1" applyFill="1" applyBorder="1" applyAlignment="1">
      <alignment horizontal="left" vertical="center" wrapText="1"/>
    </xf>
    <xf numFmtId="0" fontId="0" fillId="0" borderId="0" xfId="0" applyAlignment="1">
      <alignment vertical="top"/>
    </xf>
    <xf numFmtId="0" fontId="46" fillId="43" borderId="32" xfId="5" applyFont="1" applyFill="1" applyBorder="1" applyAlignment="1">
      <alignment wrapText="1"/>
    </xf>
    <xf numFmtId="0" fontId="5" fillId="0" borderId="34" xfId="0" applyFont="1" applyBorder="1" applyAlignment="1">
      <alignment wrapText="1"/>
    </xf>
    <xf numFmtId="0" fontId="5" fillId="0" borderId="35" xfId="0" applyFont="1" applyBorder="1" applyAlignment="1">
      <alignment wrapText="1"/>
    </xf>
    <xf numFmtId="0" fontId="5" fillId="63" borderId="35" xfId="0" applyFont="1" applyFill="1" applyBorder="1" applyAlignment="1">
      <alignment horizontal="right" wrapText="1"/>
    </xf>
    <xf numFmtId="0" fontId="5" fillId="64" borderId="35" xfId="0" applyFont="1" applyFill="1" applyBorder="1" applyAlignment="1">
      <alignment horizontal="right" wrapText="1"/>
    </xf>
    <xf numFmtId="0" fontId="5" fillId="65" borderId="35" xfId="0" applyFont="1" applyFill="1" applyBorder="1" applyAlignment="1">
      <alignment horizontal="right" wrapText="1"/>
    </xf>
    <xf numFmtId="0" fontId="52" fillId="66" borderId="35" xfId="0" applyFont="1" applyFill="1" applyBorder="1" applyAlignment="1">
      <alignment horizontal="right" wrapText="1"/>
    </xf>
    <xf numFmtId="0" fontId="52" fillId="67" borderId="35" xfId="0" applyFont="1" applyFill="1" applyBorder="1" applyAlignment="1">
      <alignment horizontal="right" wrapText="1"/>
    </xf>
    <xf numFmtId="0" fontId="5" fillId="68" borderId="35" xfId="0" applyFont="1" applyFill="1" applyBorder="1" applyAlignment="1">
      <alignment wrapText="1"/>
    </xf>
    <xf numFmtId="0" fontId="53" fillId="0" borderId="0" xfId="0" applyFont="1" applyAlignment="1">
      <alignment horizontal="right" wrapText="1"/>
    </xf>
    <xf numFmtId="0" fontId="56" fillId="0" borderId="0" xfId="0" applyFont="1" applyAlignment="1">
      <alignment wrapText="1"/>
    </xf>
    <xf numFmtId="0" fontId="57" fillId="0" borderId="0" xfId="0" applyFont="1" applyAlignment="1">
      <alignment wrapText="1"/>
    </xf>
    <xf numFmtId="0" fontId="56" fillId="0" borderId="0" xfId="0" applyFont="1" applyAlignment="1">
      <alignment horizontal="right" wrapText="1"/>
    </xf>
    <xf numFmtId="0" fontId="44" fillId="44" borderId="0" xfId="5" applyFont="1" applyFill="1" applyAlignment="1">
      <alignment horizontal="left" vertical="center" wrapText="1"/>
    </xf>
    <xf numFmtId="0" fontId="2" fillId="56" borderId="32" xfId="5" applyFont="1" applyFill="1" applyBorder="1" applyAlignment="1"/>
    <xf numFmtId="0" fontId="2" fillId="0" borderId="0" xfId="0" applyFont="1" applyAlignment="1">
      <alignment horizontal="center"/>
    </xf>
    <xf numFmtId="0" fontId="60" fillId="0" borderId="0" xfId="0" applyFont="1" applyAlignment="1">
      <alignment horizontal="left"/>
    </xf>
    <xf numFmtId="0" fontId="61" fillId="36" borderId="13" xfId="0" applyFont="1" applyFill="1" applyBorder="1" applyAlignment="1">
      <alignment horizontal="center" vertical="center" wrapText="1" readingOrder="1"/>
    </xf>
    <xf numFmtId="0" fontId="64" fillId="0" borderId="0" xfId="0" applyFont="1" applyFill="1" applyBorder="1" applyAlignment="1">
      <alignment horizontal="left"/>
    </xf>
    <xf numFmtId="0" fontId="4" fillId="0" borderId="0" xfId="0" applyFont="1" applyAlignment="1">
      <alignment horizontal="center" vertical="center" wrapText="1"/>
    </xf>
    <xf numFmtId="0" fontId="4" fillId="57" borderId="32" xfId="0" applyFont="1" applyFill="1" applyBorder="1" applyAlignment="1">
      <alignment wrapText="1"/>
    </xf>
    <xf numFmtId="0" fontId="8" fillId="0" borderId="0" xfId="5" applyFont="1" applyAlignment="1">
      <alignment wrapText="1"/>
    </xf>
    <xf numFmtId="0" fontId="33" fillId="0" borderId="0" xfId="0" applyFont="1" applyAlignment="1">
      <alignment vertical="center"/>
    </xf>
    <xf numFmtId="0" fontId="68" fillId="32" borderId="31" xfId="0" applyFont="1" applyFill="1" applyBorder="1" applyAlignment="1">
      <alignment horizontal="center" vertical="center" wrapText="1"/>
    </xf>
    <xf numFmtId="0" fontId="69" fillId="0" borderId="31" xfId="0" applyFont="1" applyBorder="1" applyAlignment="1">
      <alignment horizontal="center" wrapText="1"/>
    </xf>
    <xf numFmtId="0" fontId="69" fillId="0" borderId="31" xfId="0" applyFont="1" applyBorder="1" applyAlignment="1">
      <alignment horizontal="center" vertical="center" wrapText="1"/>
    </xf>
    <xf numFmtId="0" fontId="70" fillId="0" borderId="0" xfId="0" applyFont="1" applyAlignment="1"/>
    <xf numFmtId="0" fontId="71" fillId="0" borderId="0" xfId="5" applyFont="1" applyAlignment="1"/>
    <xf numFmtId="0" fontId="63" fillId="0" borderId="0" xfId="0" applyFont="1" applyAlignment="1">
      <alignment horizontal="left" vertical="center"/>
    </xf>
    <xf numFmtId="0" fontId="72" fillId="0" borderId="0" xfId="0" applyFont="1" applyAlignment="1">
      <alignment vertical="center" wrapText="1"/>
    </xf>
    <xf numFmtId="0" fontId="63" fillId="0" borderId="0" xfId="0" applyFont="1" applyAlignment="1">
      <alignment horizontal="left"/>
    </xf>
    <xf numFmtId="0" fontId="73" fillId="0" borderId="0" xfId="0" applyFont="1" applyAlignment="1"/>
    <xf numFmtId="0" fontId="2" fillId="56" borderId="32" xfId="5" applyFont="1" applyFill="1" applyBorder="1" applyAlignment="1">
      <alignment wrapText="1"/>
    </xf>
    <xf numFmtId="0" fontId="20" fillId="0" borderId="0" xfId="0" applyFont="1" applyAlignment="1">
      <alignment horizontal="left" vertical="top" wrapText="1"/>
    </xf>
    <xf numFmtId="0" fontId="4" fillId="0" borderId="0" xfId="0" applyFont="1" applyAlignment="1">
      <alignment horizontal="center"/>
    </xf>
    <xf numFmtId="0" fontId="1" fillId="10" borderId="31" xfId="5" applyFont="1" applyFill="1" applyBorder="1" applyAlignment="1">
      <alignment horizontal="center" vertical="center" wrapText="1"/>
    </xf>
    <xf numFmtId="49" fontId="14" fillId="0" borderId="32" xfId="5" applyNumberFormat="1" applyFont="1" applyBorder="1" applyAlignment="1">
      <alignment horizontal="center" vertical="center" wrapText="1"/>
    </xf>
    <xf numFmtId="0" fontId="14" fillId="0" borderId="32" xfId="5" applyFont="1" applyBorder="1" applyAlignment="1">
      <alignment horizontal="center" vertical="center" wrapText="1"/>
    </xf>
    <xf numFmtId="0" fontId="58" fillId="0" borderId="32" xfId="5" applyFont="1" applyBorder="1" applyAlignment="1">
      <alignment horizontal="center" vertical="center" wrapText="1"/>
    </xf>
    <xf numFmtId="0" fontId="2" fillId="56" borderId="32" xfId="5" applyFont="1" applyFill="1" applyBorder="1" applyAlignment="1">
      <alignment horizontal="center" vertical="center" wrapText="1"/>
    </xf>
    <xf numFmtId="0" fontId="2" fillId="0" borderId="0" xfId="0" applyFont="1" applyAlignment="1">
      <alignment horizontal="center" vertical="center" wrapText="1"/>
    </xf>
    <xf numFmtId="0" fontId="14" fillId="45" borderId="32" xfId="5" applyFont="1" applyFill="1" applyBorder="1" applyAlignment="1">
      <alignment horizontal="center" vertical="center" wrapText="1"/>
    </xf>
    <xf numFmtId="0" fontId="14" fillId="46" borderId="32" xfId="5" applyFont="1" applyFill="1" applyBorder="1" applyAlignment="1">
      <alignment horizontal="center" vertical="center" wrapText="1"/>
    </xf>
    <xf numFmtId="0" fontId="14" fillId="47" borderId="32" xfId="5" applyFont="1" applyFill="1" applyBorder="1" applyAlignment="1">
      <alignment horizontal="center" vertical="center" wrapText="1"/>
    </xf>
    <xf numFmtId="0" fontId="28" fillId="48" borderId="32" xfId="5" applyFont="1" applyFill="1" applyBorder="1" applyAlignment="1">
      <alignment horizontal="center" vertical="center" wrapText="1"/>
    </xf>
    <xf numFmtId="0" fontId="28" fillId="49" borderId="32" xfId="5" applyFont="1" applyFill="1" applyBorder="1" applyAlignment="1">
      <alignment horizontal="center" vertical="center" wrapText="1"/>
    </xf>
    <xf numFmtId="0" fontId="14" fillId="50" borderId="32" xfId="5" applyFont="1" applyFill="1" applyBorder="1" applyAlignment="1">
      <alignment horizontal="center" vertical="center" wrapText="1"/>
    </xf>
    <xf numFmtId="0" fontId="14" fillId="70" borderId="32" xfId="5" applyFont="1" applyFill="1" applyBorder="1" applyAlignment="1">
      <alignment horizontal="center" vertical="center" wrapText="1"/>
    </xf>
    <xf numFmtId="0" fontId="14" fillId="70" borderId="33" xfId="5" applyFont="1" applyFill="1" applyBorder="1" applyAlignment="1">
      <alignment horizontal="center" vertical="center" wrapText="1"/>
    </xf>
    <xf numFmtId="0" fontId="11" fillId="10" borderId="31" xfId="0" applyFont="1" applyFill="1" applyBorder="1" applyAlignment="1">
      <alignment horizontal="center" vertical="center" wrapText="1"/>
    </xf>
    <xf numFmtId="0" fontId="0" fillId="0" borderId="0" xfId="0" applyAlignment="1">
      <alignment horizontal="center" vertical="center" wrapText="1"/>
    </xf>
    <xf numFmtId="0" fontId="59" fillId="56" borderId="32" xfId="5" applyFont="1" applyFill="1" applyBorder="1" applyAlignment="1">
      <alignment horizontal="center" vertical="center" wrapText="1"/>
    </xf>
    <xf numFmtId="0" fontId="2" fillId="10" borderId="31" xfId="0" applyFont="1" applyFill="1" applyBorder="1" applyAlignment="1">
      <alignment horizontal="center" vertical="center" wrapText="1"/>
    </xf>
    <xf numFmtId="0" fontId="1" fillId="10" borderId="31" xfId="0" applyFont="1" applyFill="1" applyBorder="1" applyAlignment="1">
      <alignment horizontal="center" vertical="center" wrapText="1"/>
    </xf>
    <xf numFmtId="0" fontId="30" fillId="0" borderId="20" xfId="0" applyFont="1" applyBorder="1" applyAlignment="1">
      <alignment horizontal="center" vertical="center" wrapText="1" readingOrder="1"/>
    </xf>
    <xf numFmtId="0" fontId="30" fillId="0" borderId="13" xfId="0" applyFont="1" applyBorder="1" applyAlignment="1">
      <alignment horizontal="center" vertical="center" wrapText="1" readingOrder="1"/>
    </xf>
    <xf numFmtId="0" fontId="73"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horizontal="left" vertical="center" wrapText="1"/>
    </xf>
    <xf numFmtId="0" fontId="27" fillId="0" borderId="20" xfId="0" applyFont="1" applyBorder="1" applyAlignment="1">
      <alignment horizontal="center" vertical="center" wrapText="1"/>
    </xf>
    <xf numFmtId="0" fontId="27" fillId="0" borderId="0" xfId="0" applyFont="1" applyAlignment="1">
      <alignment horizontal="center" vertical="center" wrapText="1"/>
    </xf>
    <xf numFmtId="0" fontId="31" fillId="0" borderId="0" xfId="0" applyFont="1" applyAlignment="1">
      <alignment horizontal="center" vertical="center" wrapText="1" readingOrder="1"/>
    </xf>
    <xf numFmtId="0" fontId="32" fillId="0" borderId="0" xfId="0" applyFont="1" applyAlignment="1">
      <alignment horizontal="center" vertical="center" wrapText="1" readingOrder="1"/>
    </xf>
    <xf numFmtId="0" fontId="27" fillId="0" borderId="13" xfId="0" applyFont="1" applyBorder="1" applyAlignment="1">
      <alignment horizontal="center" vertical="center" wrapText="1"/>
    </xf>
    <xf numFmtId="0" fontId="32" fillId="0" borderId="13" xfId="0" applyFont="1" applyBorder="1" applyAlignment="1">
      <alignment horizontal="center" vertical="center" wrapText="1" readingOrder="1"/>
    </xf>
    <xf numFmtId="0" fontId="32" fillId="0" borderId="20" xfId="0" applyFont="1" applyBorder="1" applyAlignment="1">
      <alignment horizontal="center" vertical="center" wrapText="1" readingOrder="1"/>
    </xf>
    <xf numFmtId="0" fontId="78" fillId="0" borderId="0" xfId="0" applyFont="1" applyAlignment="1">
      <alignment wrapText="1"/>
    </xf>
    <xf numFmtId="0" fontId="78" fillId="0" borderId="0" xfId="0" applyFont="1" applyFill="1" applyAlignment="1">
      <alignment wrapText="1"/>
    </xf>
    <xf numFmtId="0" fontId="79" fillId="4" borderId="15" xfId="0" applyFont="1" applyFill="1" applyBorder="1" applyAlignment="1">
      <alignment horizontal="center" vertical="center" wrapText="1" readingOrder="1"/>
    </xf>
    <xf numFmtId="0" fontId="79" fillId="2" borderId="16" xfId="0" applyFont="1" applyFill="1" applyBorder="1" applyAlignment="1">
      <alignment horizontal="center" vertical="center" wrapText="1" readingOrder="1"/>
    </xf>
    <xf numFmtId="0" fontId="79" fillId="5" borderId="16" xfId="0" applyFont="1" applyFill="1" applyBorder="1" applyAlignment="1">
      <alignment horizontal="center" vertical="center" wrapText="1" readingOrder="1"/>
    </xf>
    <xf numFmtId="0" fontId="79" fillId="6" borderId="16" xfId="0" applyFont="1" applyFill="1" applyBorder="1" applyAlignment="1">
      <alignment horizontal="center" vertical="center" wrapText="1" readingOrder="1"/>
    </xf>
    <xf numFmtId="0" fontId="79" fillId="3" borderId="17" xfId="0" applyFont="1" applyFill="1" applyBorder="1" applyAlignment="1">
      <alignment horizontal="center" vertical="center" wrapText="1" readingOrder="1"/>
    </xf>
    <xf numFmtId="0" fontId="80" fillId="38" borderId="20" xfId="0" applyFont="1" applyFill="1" applyBorder="1" applyAlignment="1">
      <alignment horizontal="center" vertical="center" wrapText="1" readingOrder="1"/>
    </xf>
    <xf numFmtId="0" fontId="80" fillId="38" borderId="0" xfId="0" applyFont="1" applyFill="1" applyAlignment="1">
      <alignment horizontal="center" vertical="center" wrapText="1" readingOrder="1"/>
    </xf>
    <xf numFmtId="0" fontId="80" fillId="38" borderId="0" xfId="0" applyFont="1" applyFill="1" applyBorder="1" applyAlignment="1">
      <alignment horizontal="center" vertical="center" wrapText="1" readingOrder="1"/>
    </xf>
    <xf numFmtId="0" fontId="80" fillId="38" borderId="13" xfId="0" applyFont="1" applyFill="1" applyBorder="1" applyAlignment="1">
      <alignment horizontal="center" vertical="center" wrapText="1" readingOrder="1"/>
    </xf>
    <xf numFmtId="0" fontId="80" fillId="0" borderId="20" xfId="0" applyFont="1" applyBorder="1" applyAlignment="1">
      <alignment horizontal="center" vertical="center" wrapText="1" readingOrder="1"/>
    </xf>
    <xf numFmtId="0" fontId="80" fillId="0" borderId="0" xfId="0" applyFont="1" applyAlignment="1">
      <alignment horizontal="center" vertical="center" wrapText="1" readingOrder="1"/>
    </xf>
    <xf numFmtId="0" fontId="80" fillId="0" borderId="0" xfId="0" applyFont="1" applyBorder="1" applyAlignment="1">
      <alignment horizontal="center" vertical="center" wrapText="1" readingOrder="1"/>
    </xf>
    <xf numFmtId="0" fontId="80" fillId="0" borderId="13" xfId="0" applyFont="1" applyBorder="1" applyAlignment="1">
      <alignment horizontal="center" vertical="center" wrapText="1" readingOrder="1"/>
    </xf>
    <xf numFmtId="0" fontId="65" fillId="4" borderId="24" xfId="0" applyFont="1" applyFill="1" applyBorder="1" applyAlignment="1">
      <alignment horizontal="center" vertical="center" wrapText="1" readingOrder="1"/>
    </xf>
    <xf numFmtId="0" fontId="65" fillId="2" borderId="24" xfId="0" applyFont="1" applyFill="1" applyBorder="1" applyAlignment="1">
      <alignment horizontal="center" vertical="center" wrapText="1" readingOrder="1"/>
    </xf>
    <xf numFmtId="0" fontId="65" fillId="5" borderId="24" xfId="0" applyFont="1" applyFill="1" applyBorder="1" applyAlignment="1">
      <alignment horizontal="center" vertical="center" wrapText="1" readingOrder="1"/>
    </xf>
    <xf numFmtId="0" fontId="65" fillId="6" borderId="24" xfId="0" applyFont="1" applyFill="1" applyBorder="1" applyAlignment="1">
      <alignment horizontal="center" vertical="center" wrapText="1" readingOrder="1"/>
    </xf>
    <xf numFmtId="0" fontId="65" fillId="3" borderId="46" xfId="0" applyFont="1" applyFill="1" applyBorder="1" applyAlignment="1">
      <alignment horizontal="center" vertical="center" wrapText="1" readingOrder="1"/>
    </xf>
    <xf numFmtId="0" fontId="81" fillId="4" borderId="26" xfId="0" applyFont="1" applyFill="1" applyBorder="1" applyAlignment="1">
      <alignment horizontal="center" vertical="center" wrapText="1"/>
    </xf>
    <xf numFmtId="0" fontId="81" fillId="2" borderId="26" xfId="0" applyFont="1" applyFill="1" applyBorder="1" applyAlignment="1">
      <alignment horizontal="center" vertical="center" wrapText="1"/>
    </xf>
    <xf numFmtId="0" fontId="81" fillId="5" borderId="26" xfId="0" applyFont="1" applyFill="1" applyBorder="1" applyAlignment="1">
      <alignment horizontal="center" vertical="center" wrapText="1"/>
    </xf>
    <xf numFmtId="0" fontId="81" fillId="6" borderId="26" xfId="0" applyFont="1" applyFill="1" applyBorder="1" applyAlignment="1">
      <alignment horizontal="center" vertical="center" wrapText="1"/>
    </xf>
    <xf numFmtId="0" fontId="81" fillId="3" borderId="47" xfId="0" applyFont="1" applyFill="1" applyBorder="1" applyAlignment="1">
      <alignment horizontal="center" vertical="center" wrapText="1"/>
    </xf>
    <xf numFmtId="0" fontId="24" fillId="11" borderId="49" xfId="0" applyFont="1" applyFill="1" applyBorder="1" applyAlignment="1">
      <alignment horizontal="center" vertical="center" wrapText="1"/>
    </xf>
    <xf numFmtId="0" fontId="62" fillId="0" borderId="0" xfId="0" applyFont="1"/>
    <xf numFmtId="0" fontId="83" fillId="11" borderId="49" xfId="0" applyFont="1" applyFill="1" applyBorder="1" applyAlignment="1">
      <alignment horizontal="center" vertical="center"/>
    </xf>
    <xf numFmtId="0" fontId="82" fillId="0" borderId="0" xfId="0" applyFont="1" applyAlignment="1"/>
    <xf numFmtId="0" fontId="2" fillId="0" borderId="0" xfId="0" applyFont="1" applyAlignment="1">
      <alignment horizontal="left" vertical="top" wrapText="1"/>
    </xf>
    <xf numFmtId="0" fontId="2" fillId="0" borderId="0" xfId="0" applyFont="1"/>
    <xf numFmtId="0" fontId="14" fillId="0" borderId="0" xfId="0" applyFont="1"/>
    <xf numFmtId="0" fontId="84" fillId="0" borderId="0" xfId="0" applyFont="1" applyAlignment="1">
      <alignment horizontal="left"/>
    </xf>
    <xf numFmtId="0" fontId="84" fillId="0" borderId="0" xfId="0" applyFont="1"/>
    <xf numFmtId="0" fontId="2" fillId="0" borderId="0" xfId="0" applyFont="1" applyAlignment="1">
      <alignment horizontal="left" vertical="center" indent="12" readingOrder="1"/>
    </xf>
    <xf numFmtId="0" fontId="14" fillId="0" borderId="0" xfId="0" applyFont="1" applyAlignment="1">
      <alignment horizontal="center" vertical="top" wrapText="1"/>
    </xf>
    <xf numFmtId="0" fontId="14"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right" vertical="center" wrapText="1"/>
    </xf>
    <xf numFmtId="16" fontId="2" fillId="0" borderId="0" xfId="0" applyNumberFormat="1" applyFont="1" applyAlignment="1">
      <alignment horizontal="right" vertical="center" wrapText="1"/>
    </xf>
    <xf numFmtId="0" fontId="5" fillId="0" borderId="0" xfId="0" applyFont="1" applyAlignment="1">
      <alignment horizontal="left" vertical="center" wrapText="1"/>
    </xf>
    <xf numFmtId="0" fontId="87" fillId="0" borderId="0" xfId="0" applyFont="1" applyAlignment="1">
      <alignment horizontal="left" vertical="center"/>
    </xf>
    <xf numFmtId="0" fontId="24" fillId="72" borderId="31" xfId="0" applyFont="1" applyFill="1" applyBorder="1" applyAlignment="1">
      <alignment horizontal="center" vertical="center"/>
    </xf>
    <xf numFmtId="0" fontId="14" fillId="0" borderId="31" xfId="0" applyFont="1" applyBorder="1" applyAlignment="1">
      <alignment horizontal="center" vertical="center"/>
    </xf>
    <xf numFmtId="0" fontId="14" fillId="0" borderId="0" xfId="0" applyFont="1" applyAlignment="1">
      <alignment horizontal="left" vertical="center" wrapText="1"/>
    </xf>
    <xf numFmtId="0" fontId="53" fillId="0" borderId="32" xfId="5" applyFont="1" applyFill="1" applyBorder="1" applyAlignment="1">
      <alignment horizontal="left" vertical="center" wrapText="1"/>
    </xf>
    <xf numFmtId="0" fontId="8" fillId="79" borderId="32" xfId="5" applyFont="1" applyFill="1" applyBorder="1" applyAlignment="1">
      <alignment horizontal="left" vertical="center" wrapText="1"/>
    </xf>
    <xf numFmtId="0" fontId="92" fillId="0" borderId="32" xfId="0" applyFont="1" applyBorder="1" applyAlignment="1">
      <alignment horizontal="right" wrapText="1"/>
    </xf>
    <xf numFmtId="0" fontId="93" fillId="56" borderId="32" xfId="0" applyFont="1" applyFill="1" applyBorder="1" applyAlignment="1">
      <alignment wrapText="1"/>
    </xf>
    <xf numFmtId="0" fontId="93" fillId="56" borderId="32" xfId="0" applyFont="1" applyFill="1" applyBorder="1" applyAlignment="1">
      <alignment horizontal="right" wrapText="1"/>
    </xf>
    <xf numFmtId="0" fontId="17" fillId="56" borderId="32" xfId="0" applyFont="1" applyFill="1" applyBorder="1" applyAlignment="1">
      <alignment vertical="center" wrapText="1"/>
    </xf>
    <xf numFmtId="0" fontId="17" fillId="56" borderId="32" xfId="0" applyFont="1" applyFill="1" applyBorder="1" applyAlignment="1">
      <alignment wrapText="1"/>
    </xf>
    <xf numFmtId="0" fontId="86" fillId="56" borderId="32" xfId="0" applyFont="1" applyFill="1" applyBorder="1" applyAlignment="1">
      <alignment horizontal="center" vertical="center" wrapText="1"/>
    </xf>
    <xf numFmtId="0" fontId="94" fillId="0" borderId="32" xfId="5" applyFont="1" applyBorder="1" applyAlignment="1">
      <alignment horizontal="center" vertical="center" wrapText="1"/>
    </xf>
    <xf numFmtId="0" fontId="14" fillId="56" borderId="32" xfId="5" applyFont="1" applyFill="1" applyBorder="1" applyAlignment="1">
      <alignment horizontal="center" vertical="center" wrapText="1"/>
    </xf>
    <xf numFmtId="0" fontId="95" fillId="10" borderId="31" xfId="0" applyFont="1" applyFill="1" applyBorder="1" applyAlignment="1">
      <alignment horizontal="center" vertical="center" wrapText="1"/>
    </xf>
    <xf numFmtId="0" fontId="30" fillId="10" borderId="31" xfId="0" applyFont="1" applyFill="1" applyBorder="1" applyAlignment="1">
      <alignment horizontal="center" vertical="center" wrapText="1"/>
    </xf>
    <xf numFmtId="0" fontId="91" fillId="0" borderId="0" xfId="0" applyFont="1" applyAlignment="1">
      <alignment horizontal="center" vertical="center" wrapText="1"/>
    </xf>
    <xf numFmtId="0" fontId="17" fillId="56" borderId="32" xfId="0" applyFont="1" applyFill="1" applyBorder="1" applyAlignment="1">
      <alignment horizontal="center" vertical="center" wrapText="1"/>
    </xf>
    <xf numFmtId="0" fontId="5" fillId="56" borderId="32" xfId="0" applyFont="1" applyFill="1" applyBorder="1" applyAlignment="1">
      <alignment horizontal="center" vertical="center" wrapText="1"/>
    </xf>
    <xf numFmtId="0" fontId="96" fillId="56" borderId="32" xfId="0" applyFont="1" applyFill="1" applyBorder="1" applyAlignment="1">
      <alignment horizontal="center" vertical="center" wrapText="1"/>
    </xf>
    <xf numFmtId="0" fontId="92" fillId="0" borderId="32" xfId="0" applyFont="1" applyBorder="1" applyAlignment="1">
      <alignment horizontal="center" vertical="center" wrapText="1"/>
    </xf>
    <xf numFmtId="0" fontId="93" fillId="56" borderId="32" xfId="0" applyFont="1" applyFill="1" applyBorder="1" applyAlignment="1">
      <alignment horizontal="center" vertical="center" wrapText="1"/>
    </xf>
    <xf numFmtId="0" fontId="97" fillId="0" borderId="32" xfId="0" applyFont="1" applyBorder="1" applyAlignment="1">
      <alignment horizontal="center" vertical="center" wrapText="1"/>
    </xf>
    <xf numFmtId="0" fontId="19" fillId="56" borderId="32" xfId="0" applyFont="1" applyFill="1" applyBorder="1" applyAlignment="1">
      <alignment horizontal="center" vertical="center" wrapText="1"/>
    </xf>
    <xf numFmtId="0" fontId="69" fillId="43" borderId="31" xfId="0" applyFont="1" applyFill="1" applyBorder="1" applyAlignment="1">
      <alignment horizontal="center" wrapText="1"/>
    </xf>
    <xf numFmtId="0" fontId="98" fillId="0" borderId="0" xfId="5" applyFont="1" applyAlignment="1"/>
    <xf numFmtId="0" fontId="8" fillId="0" borderId="0" xfId="5" applyFont="1" applyAlignment="1"/>
    <xf numFmtId="0" fontId="71" fillId="0" borderId="0" xfId="0" applyFont="1" applyAlignment="1"/>
    <xf numFmtId="49" fontId="33" fillId="0" borderId="32" xfId="0" applyNumberFormat="1" applyFont="1" applyBorder="1" applyAlignment="1"/>
    <xf numFmtId="0" fontId="33" fillId="0" borderId="32" xfId="0" applyFont="1" applyBorder="1" applyAlignment="1"/>
    <xf numFmtId="0" fontId="33" fillId="45" borderId="32" xfId="0" applyFont="1" applyFill="1" applyBorder="1" applyAlignment="1"/>
    <xf numFmtId="0" fontId="33" fillId="46" borderId="32" xfId="0" applyFont="1" applyFill="1" applyBorder="1" applyAlignment="1"/>
    <xf numFmtId="0" fontId="33" fillId="47" borderId="32" xfId="0" applyFont="1" applyFill="1" applyBorder="1" applyAlignment="1"/>
    <xf numFmtId="0" fontId="100" fillId="48" borderId="32" xfId="0" applyFont="1" applyFill="1" applyBorder="1" applyAlignment="1"/>
    <xf numFmtId="0" fontId="100" fillId="49" borderId="32" xfId="0" applyFont="1" applyFill="1" applyBorder="1" applyAlignment="1"/>
    <xf numFmtId="0" fontId="33" fillId="50" borderId="32" xfId="0" applyFont="1" applyFill="1" applyBorder="1" applyAlignment="1"/>
    <xf numFmtId="0" fontId="4" fillId="0" borderId="0" xfId="5" applyFont="1" applyAlignment="1"/>
    <xf numFmtId="0" fontId="14" fillId="0" borderId="32" xfId="5" applyFont="1" applyBorder="1" applyAlignment="1">
      <alignment horizontal="left" vertical="center" wrapText="1"/>
    </xf>
    <xf numFmtId="0" fontId="2" fillId="56" borderId="32" xfId="5" applyFont="1" applyFill="1" applyBorder="1" applyAlignment="1">
      <alignment horizontal="left" vertical="center" wrapText="1"/>
    </xf>
    <xf numFmtId="0" fontId="5" fillId="56" borderId="32" xfId="0" applyFont="1" applyFill="1" applyBorder="1" applyAlignment="1">
      <alignment horizontal="left" vertical="center" wrapText="1"/>
    </xf>
    <xf numFmtId="0" fontId="93" fillId="56" borderId="32" xfId="0" applyFont="1" applyFill="1" applyBorder="1" applyAlignment="1">
      <alignment horizontal="left" vertical="center" wrapText="1"/>
    </xf>
    <xf numFmtId="0" fontId="14" fillId="0" borderId="32" xfId="8" applyFont="1" applyBorder="1" applyAlignment="1">
      <alignment horizontal="center" vertical="center" wrapText="1"/>
    </xf>
    <xf numFmtId="0" fontId="1" fillId="0" borderId="0" xfId="8" applyFont="1" applyAlignment="1">
      <alignment horizontal="left" vertical="center" wrapText="1"/>
    </xf>
    <xf numFmtId="0" fontId="1" fillId="0" borderId="0" xfId="8" applyFont="1" applyFill="1" applyBorder="1" applyAlignment="1">
      <alignment horizontal="left" vertical="center" wrapText="1"/>
    </xf>
    <xf numFmtId="0" fontId="14" fillId="53" borderId="32" xfId="8" applyFont="1" applyFill="1" applyBorder="1" applyAlignment="1">
      <alignment horizontal="center" vertical="center" wrapText="1"/>
    </xf>
    <xf numFmtId="0" fontId="11" fillId="0" borderId="0" xfId="0" applyFont="1" applyAlignment="1"/>
    <xf numFmtId="0" fontId="14" fillId="0" borderId="32" xfId="8" applyFont="1" applyBorder="1" applyAlignment="1">
      <alignment vertical="center" wrapText="1"/>
    </xf>
    <xf numFmtId="0" fontId="58" fillId="0" borderId="32" xfId="8" applyFont="1" applyBorder="1" applyAlignment="1">
      <alignment horizontal="right" vertical="center" wrapText="1"/>
    </xf>
    <xf numFmtId="0" fontId="2" fillId="53" borderId="32" xfId="8" applyFont="1" applyFill="1" applyBorder="1" applyAlignment="1">
      <alignment vertical="center" wrapText="1"/>
    </xf>
    <xf numFmtId="0" fontId="2" fillId="53" borderId="32" xfId="8" applyFont="1" applyFill="1" applyBorder="1" applyAlignment="1">
      <alignment horizontal="right" vertical="center" wrapText="1"/>
    </xf>
    <xf numFmtId="0" fontId="1" fillId="53" borderId="32" xfId="8" applyFont="1" applyFill="1" applyBorder="1" applyAlignment="1">
      <alignment vertical="center" wrapText="1"/>
    </xf>
    <xf numFmtId="49" fontId="14" fillId="0" borderId="32" xfId="8" applyNumberFormat="1" applyFont="1" applyBorder="1" applyAlignment="1">
      <alignment vertical="center" wrapText="1"/>
    </xf>
    <xf numFmtId="0" fontId="14" fillId="45" borderId="32" xfId="8" applyFont="1" applyFill="1" applyBorder="1" applyAlignment="1">
      <alignment vertical="center" wrapText="1"/>
    </xf>
    <xf numFmtId="0" fontId="14" fillId="46" borderId="32" xfId="8" applyFont="1" applyFill="1" applyBorder="1" applyAlignment="1">
      <alignment vertical="center" wrapText="1"/>
    </xf>
    <xf numFmtId="0" fontId="14" fillId="47" borderId="32" xfId="8" applyFont="1" applyFill="1" applyBorder="1" applyAlignment="1">
      <alignment vertical="center" wrapText="1"/>
    </xf>
    <xf numFmtId="0" fontId="28" fillId="48" borderId="32" xfId="8" applyFont="1" applyFill="1" applyBorder="1" applyAlignment="1">
      <alignment vertical="center" wrapText="1"/>
    </xf>
    <xf numFmtId="0" fontId="28" fillId="49" borderId="32" xfId="8" applyFont="1" applyFill="1" applyBorder="1" applyAlignment="1">
      <alignment vertical="center" wrapText="1"/>
    </xf>
    <xf numFmtId="0" fontId="14" fillId="50" borderId="32" xfId="8" applyFont="1" applyFill="1" applyBorder="1" applyAlignment="1">
      <alignment vertical="center" wrapText="1"/>
    </xf>
    <xf numFmtId="0" fontId="11" fillId="0" borderId="0" xfId="0" applyFont="1" applyAlignment="1">
      <alignment vertical="center" wrapText="1"/>
    </xf>
    <xf numFmtId="0" fontId="95" fillId="0" borderId="0" xfId="0" applyFont="1" applyAlignment="1">
      <alignment vertical="center" wrapText="1"/>
    </xf>
    <xf numFmtId="0" fontId="95" fillId="80" borderId="0" xfId="0" applyFont="1" applyFill="1" applyAlignment="1">
      <alignment horizontal="center" vertical="center"/>
    </xf>
    <xf numFmtId="0" fontId="11" fillId="0" borderId="31" xfId="0" applyFont="1" applyBorder="1" applyAlignment="1">
      <alignment wrapText="1"/>
    </xf>
    <xf numFmtId="0" fontId="11" fillId="0" borderId="31" xfId="0" applyFont="1" applyBorder="1" applyAlignment="1">
      <alignment vertical="center" wrapText="1"/>
    </xf>
    <xf numFmtId="0" fontId="103" fillId="61" borderId="31" xfId="0" applyFont="1" applyFill="1" applyBorder="1" applyAlignment="1">
      <alignment wrapText="1"/>
    </xf>
    <xf numFmtId="0" fontId="11" fillId="0" borderId="61" xfId="0" applyFont="1" applyBorder="1" applyAlignment="1">
      <alignment vertical="center" wrapText="1"/>
    </xf>
    <xf numFmtId="0" fontId="103" fillId="61" borderId="64" xfId="0" applyFont="1" applyFill="1" applyBorder="1" applyAlignment="1">
      <alignment wrapText="1"/>
    </xf>
    <xf numFmtId="0" fontId="11" fillId="0" borderId="64" xfId="0" applyFont="1" applyBorder="1" applyAlignment="1">
      <alignment vertical="center" wrapText="1"/>
    </xf>
    <xf numFmtId="0" fontId="11" fillId="0" borderId="65" xfId="0" applyFont="1" applyBorder="1" applyAlignment="1">
      <alignment vertical="center" wrapText="1"/>
    </xf>
    <xf numFmtId="0" fontId="11" fillId="0" borderId="66" xfId="0" applyFont="1" applyBorder="1" applyAlignment="1">
      <alignment vertical="center" wrapText="1"/>
    </xf>
    <xf numFmtId="16" fontId="11" fillId="0" borderId="66" xfId="0" quotePrefix="1" applyNumberFormat="1" applyFont="1" applyBorder="1" applyAlignment="1">
      <alignment vertical="center" wrapText="1"/>
    </xf>
    <xf numFmtId="0" fontId="103" fillId="61" borderId="61" xfId="0" applyFont="1" applyFill="1" applyBorder="1" applyAlignment="1">
      <alignment wrapText="1"/>
    </xf>
    <xf numFmtId="0" fontId="11" fillId="0" borderId="68" xfId="0" applyFont="1" applyBorder="1" applyAlignment="1">
      <alignment vertical="center" wrapText="1"/>
    </xf>
    <xf numFmtId="0" fontId="11" fillId="0" borderId="31" xfId="0" applyFont="1" applyBorder="1"/>
    <xf numFmtId="0" fontId="0" fillId="0" borderId="0" xfId="0"/>
    <xf numFmtId="0" fontId="0" fillId="83" borderId="31" xfId="0" applyFill="1" applyBorder="1"/>
    <xf numFmtId="0" fontId="4" fillId="84" borderId="31" xfId="0" applyFont="1" applyFill="1" applyBorder="1" applyAlignment="1">
      <alignment wrapText="1"/>
    </xf>
    <xf numFmtId="0" fontId="0" fillId="83" borderId="0" xfId="0" applyFill="1"/>
    <xf numFmtId="0" fontId="66" fillId="0" borderId="0" xfId="0" applyFont="1" applyAlignment="1">
      <alignment horizontal="left" vertical="center" wrapText="1"/>
    </xf>
    <xf numFmtId="0" fontId="71" fillId="0" borderId="0" xfId="0" applyFont="1" applyAlignment="1">
      <alignment horizontal="left" vertical="center"/>
    </xf>
    <xf numFmtId="0" fontId="29" fillId="0" borderId="0" xfId="0" applyFont="1" applyAlignment="1">
      <alignment horizontal="center"/>
    </xf>
    <xf numFmtId="0" fontId="5" fillId="0" borderId="0" xfId="0" applyFont="1" applyAlignment="1">
      <alignment horizontal="center"/>
    </xf>
    <xf numFmtId="0" fontId="2" fillId="0" borderId="0" xfId="0" applyFont="1" applyAlignment="1">
      <alignment vertical="center"/>
    </xf>
    <xf numFmtId="0" fontId="14" fillId="0" borderId="0" xfId="0" applyFont="1" applyAlignment="1">
      <alignment horizontal="center" vertical="center"/>
    </xf>
    <xf numFmtId="0" fontId="5" fillId="0" borderId="0" xfId="0" applyFont="1" applyAlignment="1">
      <alignment horizontal="center" vertical="center"/>
    </xf>
    <xf numFmtId="0" fontId="71" fillId="0" borderId="0" xfId="5" applyFont="1" applyFill="1" applyAlignment="1"/>
    <xf numFmtId="0" fontId="71" fillId="0" borderId="0" xfId="0" applyFont="1" applyFill="1" applyAlignment="1"/>
    <xf numFmtId="0" fontId="33" fillId="0" borderId="32" xfId="0" applyFont="1" applyFill="1" applyBorder="1" applyAlignment="1"/>
    <xf numFmtId="0" fontId="4" fillId="0" borderId="0" xfId="5" applyFont="1" applyFill="1" applyAlignment="1"/>
    <xf numFmtId="0" fontId="8" fillId="0" borderId="0" xfId="5" applyFont="1" applyFill="1" applyAlignment="1"/>
    <xf numFmtId="0" fontId="24" fillId="72" borderId="31" xfId="0" applyFont="1" applyFill="1" applyBorder="1" applyAlignment="1">
      <alignment horizontal="center" vertical="center" wrapText="1"/>
    </xf>
    <xf numFmtId="0" fontId="32" fillId="0" borderId="31" xfId="0" applyFont="1" applyBorder="1" applyAlignment="1">
      <alignment horizontal="center" vertical="center" wrapText="1"/>
    </xf>
    <xf numFmtId="0" fontId="5" fillId="0" borderId="0" xfId="0" applyFont="1" applyAlignment="1">
      <alignment horizontal="left" vertical="center"/>
    </xf>
    <xf numFmtId="0" fontId="4" fillId="0" borderId="0" xfId="0" applyFont="1" applyBorder="1" applyAlignment="1">
      <alignment horizontal="center" vertical="center"/>
    </xf>
    <xf numFmtId="0" fontId="26" fillId="0" borderId="0" xfId="0" applyFont="1" applyAlignment="1">
      <alignment vertical="center"/>
    </xf>
    <xf numFmtId="0" fontId="4" fillId="0" borderId="40" xfId="0" applyFont="1" applyBorder="1" applyAlignment="1">
      <alignment horizontal="center" vertical="center"/>
    </xf>
    <xf numFmtId="0" fontId="5" fillId="0" borderId="34" xfId="0" applyFont="1" applyBorder="1" applyAlignment="1">
      <alignment vertical="top"/>
    </xf>
    <xf numFmtId="0" fontId="5" fillId="0" borderId="35" xfId="0" applyFont="1" applyBorder="1" applyAlignment="1">
      <alignment vertical="top"/>
    </xf>
    <xf numFmtId="0" fontId="5" fillId="63" borderId="35" xfId="0" applyFont="1" applyFill="1" applyBorder="1" applyAlignment="1">
      <alignment horizontal="center" vertical="top"/>
    </xf>
    <xf numFmtId="0" fontId="5" fillId="64" borderId="35" xfId="0" applyFont="1" applyFill="1" applyBorder="1" applyAlignment="1">
      <alignment horizontal="center" vertical="top"/>
    </xf>
    <xf numFmtId="0" fontId="5" fillId="65" borderId="35" xfId="0" applyFont="1" applyFill="1" applyBorder="1" applyAlignment="1">
      <alignment horizontal="center" vertical="top"/>
    </xf>
    <xf numFmtId="0" fontId="47" fillId="66" borderId="35" xfId="0" applyFont="1" applyFill="1" applyBorder="1" applyAlignment="1">
      <alignment horizontal="center" vertical="top"/>
    </xf>
    <xf numFmtId="0" fontId="47" fillId="67" borderId="35" xfId="0" applyFont="1" applyFill="1" applyBorder="1" applyAlignment="1">
      <alignment horizontal="center" vertical="top"/>
    </xf>
    <xf numFmtId="0" fontId="5" fillId="68" borderId="35" xfId="0" applyFont="1" applyFill="1" applyBorder="1" applyAlignment="1">
      <alignment vertical="top"/>
    </xf>
    <xf numFmtId="0" fontId="48" fillId="0" borderId="34" xfId="0" applyFont="1" applyBorder="1" applyAlignment="1">
      <alignment horizontal="right" vertical="top"/>
    </xf>
    <xf numFmtId="0" fontId="4" fillId="69" borderId="35" xfId="0" applyFont="1" applyFill="1" applyBorder="1" applyAlignment="1">
      <alignment vertical="top"/>
    </xf>
    <xf numFmtId="0" fontId="108" fillId="69" borderId="35" xfId="0" applyFont="1" applyFill="1" applyBorder="1" applyAlignment="1">
      <alignment vertical="top"/>
    </xf>
    <xf numFmtId="0" fontId="4" fillId="0" borderId="36" xfId="0" applyFont="1" applyBorder="1" applyAlignment="1">
      <alignment vertical="top"/>
    </xf>
    <xf numFmtId="0" fontId="20" fillId="0" borderId="71" xfId="0" applyFont="1" applyBorder="1" applyAlignment="1">
      <alignment vertical="center"/>
    </xf>
    <xf numFmtId="0" fontId="4" fillId="69" borderId="72" xfId="0" applyFont="1" applyFill="1" applyBorder="1" applyAlignment="1">
      <alignment vertical="top"/>
    </xf>
    <xf numFmtId="0" fontId="48" fillId="0" borderId="73" xfId="0" applyFont="1" applyBorder="1" applyAlignment="1">
      <alignment horizontal="right" vertical="top"/>
    </xf>
    <xf numFmtId="0" fontId="8" fillId="69" borderId="74" xfId="0" applyFont="1" applyFill="1" applyBorder="1" applyAlignment="1">
      <alignment vertical="top"/>
    </xf>
    <xf numFmtId="0" fontId="4" fillId="69" borderId="74" xfId="0" applyFont="1" applyFill="1" applyBorder="1" applyAlignment="1">
      <alignment vertical="top"/>
    </xf>
    <xf numFmtId="0" fontId="108" fillId="69" borderId="74" xfId="0" applyFont="1" applyFill="1" applyBorder="1" applyAlignment="1">
      <alignment vertical="top"/>
    </xf>
    <xf numFmtId="0" fontId="48" fillId="0" borderId="37" xfId="0" applyFont="1" applyBorder="1" applyAlignment="1">
      <alignment horizontal="right" vertical="top"/>
    </xf>
    <xf numFmtId="0" fontId="4" fillId="69" borderId="38" xfId="0" applyFont="1" applyFill="1" applyBorder="1" applyAlignment="1">
      <alignment vertical="top"/>
    </xf>
    <xf numFmtId="0" fontId="8" fillId="69" borderId="38" xfId="0" applyFont="1" applyFill="1" applyBorder="1" applyAlignment="1">
      <alignment vertical="top"/>
    </xf>
    <xf numFmtId="0" fontId="108" fillId="69" borderId="38" xfId="0" applyFont="1" applyFill="1" applyBorder="1" applyAlignment="1">
      <alignment vertical="top"/>
    </xf>
    <xf numFmtId="0" fontId="4" fillId="69" borderId="74" xfId="0" applyFont="1" applyFill="1" applyBorder="1" applyAlignment="1">
      <alignment horizontal="right" vertical="top"/>
    </xf>
    <xf numFmtId="0" fontId="4" fillId="69" borderId="38" xfId="0" applyFont="1" applyFill="1" applyBorder="1" applyAlignment="1">
      <alignment horizontal="right" vertical="top"/>
    </xf>
    <xf numFmtId="0" fontId="0" fillId="0" borderId="0" xfId="0" applyAlignment="1"/>
    <xf numFmtId="0" fontId="110" fillId="0" borderId="0" xfId="0" applyFont="1" applyAlignment="1">
      <alignment horizontal="left" vertical="top"/>
    </xf>
    <xf numFmtId="0" fontId="87" fillId="0" borderId="0" xfId="0" applyFont="1" applyAlignment="1">
      <alignment horizontal="center" vertical="center"/>
    </xf>
    <xf numFmtId="0" fontId="9" fillId="72" borderId="31" xfId="0" applyFont="1" applyFill="1" applyBorder="1" applyAlignment="1">
      <alignment horizontal="center" vertical="center" wrapText="1"/>
    </xf>
    <xf numFmtId="0" fontId="11" fillId="81" borderId="53" xfId="0" applyFont="1" applyFill="1" applyBorder="1" applyAlignment="1">
      <alignment vertical="center" wrapText="1"/>
    </xf>
    <xf numFmtId="0" fontId="21" fillId="0" borderId="0" xfId="0" applyFont="1" applyAlignment="1">
      <alignment horizontal="center" vertical="center"/>
    </xf>
    <xf numFmtId="0" fontId="115" fillId="0" borderId="0" xfId="0" applyFont="1" applyAlignment="1">
      <alignment horizontal="left" vertical="center"/>
    </xf>
    <xf numFmtId="0" fontId="81" fillId="77" borderId="31" xfId="7" applyFont="1" applyFill="1" applyBorder="1" applyAlignment="1">
      <alignment horizontal="center" vertical="center"/>
    </xf>
    <xf numFmtId="0" fontId="81" fillId="77" borderId="31" xfId="0" applyFont="1" applyFill="1" applyBorder="1" applyAlignment="1">
      <alignment vertical="center"/>
    </xf>
    <xf numFmtId="0" fontId="81" fillId="77" borderId="31" xfId="7" applyFont="1" applyFill="1" applyBorder="1" applyAlignment="1">
      <alignment vertical="center"/>
    </xf>
    <xf numFmtId="0" fontId="81" fillId="77" borderId="31" xfId="0" applyFont="1" applyFill="1" applyBorder="1" applyAlignment="1">
      <alignment horizontal="center" vertical="center"/>
    </xf>
    <xf numFmtId="0" fontId="81" fillId="77" borderId="31" xfId="0" applyFont="1" applyFill="1" applyBorder="1" applyAlignment="1">
      <alignment horizontal="left" vertical="center"/>
    </xf>
    <xf numFmtId="0" fontId="80" fillId="77" borderId="31" xfId="0" applyFont="1" applyFill="1" applyBorder="1" applyAlignment="1">
      <alignment horizontal="center" vertical="center"/>
    </xf>
    <xf numFmtId="0" fontId="21" fillId="77" borderId="31" xfId="0" applyFont="1" applyFill="1" applyBorder="1" applyAlignment="1">
      <alignment horizontal="left" vertical="center"/>
    </xf>
    <xf numFmtId="0" fontId="81" fillId="0" borderId="31" xfId="0" applyFont="1" applyFill="1" applyBorder="1" applyAlignment="1">
      <alignment horizontal="center" vertical="center"/>
    </xf>
    <xf numFmtId="0" fontId="81" fillId="0" borderId="31" xfId="0" applyFont="1" applyFill="1" applyBorder="1" applyAlignment="1">
      <alignment horizontal="left" vertical="center"/>
    </xf>
    <xf numFmtId="0" fontId="21" fillId="0" borderId="31" xfId="0" applyFont="1" applyFill="1" applyBorder="1" applyAlignment="1">
      <alignment horizontal="left" vertical="center"/>
    </xf>
    <xf numFmtId="0" fontId="114" fillId="0" borderId="0" xfId="0" applyFont="1" applyAlignment="1">
      <alignment horizontal="left" vertical="center" wrapText="1"/>
    </xf>
    <xf numFmtId="0" fontId="21" fillId="0" borderId="0" xfId="0" applyFont="1" applyAlignment="1">
      <alignment horizontal="left" vertical="center"/>
    </xf>
    <xf numFmtId="0" fontId="66" fillId="0" borderId="0" xfId="0" applyFont="1" applyAlignment="1">
      <alignment vertical="center" wrapText="1"/>
    </xf>
    <xf numFmtId="0" fontId="5" fillId="0" borderId="39" xfId="0" applyFont="1" applyBorder="1" applyAlignment="1">
      <alignment horizontal="center" vertical="center" wrapText="1"/>
    </xf>
    <xf numFmtId="0" fontId="4" fillId="0" borderId="39" xfId="0" applyFont="1" applyBorder="1" applyAlignment="1">
      <alignment horizontal="center" vertical="center" wrapText="1"/>
    </xf>
    <xf numFmtId="0" fontId="3" fillId="89" borderId="82" xfId="0" applyFont="1" applyFill="1" applyBorder="1" applyAlignment="1">
      <alignment horizontal="center" vertical="center" wrapText="1"/>
    </xf>
    <xf numFmtId="0" fontId="3" fillId="8" borderId="82" xfId="0" applyFont="1" applyFill="1" applyBorder="1" applyAlignment="1">
      <alignment horizontal="center" vertical="center" wrapText="1"/>
    </xf>
    <xf numFmtId="0" fontId="3" fillId="85" borderId="82" xfId="0" applyFont="1" applyFill="1" applyBorder="1" applyAlignment="1">
      <alignment horizontal="center" vertical="center" wrapText="1"/>
    </xf>
    <xf numFmtId="0" fontId="3" fillId="25" borderId="82" xfId="0" applyFont="1" applyFill="1" applyBorder="1" applyAlignment="1">
      <alignment horizontal="center" vertical="center" wrapText="1"/>
    </xf>
    <xf numFmtId="0" fontId="5" fillId="63" borderId="41" xfId="0" applyFont="1" applyFill="1" applyBorder="1" applyAlignment="1">
      <alignment horizontal="center" vertical="center" wrapText="1"/>
    </xf>
    <xf numFmtId="0" fontId="5" fillId="64" borderId="41" xfId="0" applyFont="1" applyFill="1" applyBorder="1" applyAlignment="1">
      <alignment horizontal="center" vertical="center" wrapText="1"/>
    </xf>
    <xf numFmtId="0" fontId="5" fillId="65" borderId="41" xfId="0" applyFont="1" applyFill="1" applyBorder="1" applyAlignment="1">
      <alignment horizontal="center" vertical="center" wrapText="1"/>
    </xf>
    <xf numFmtId="0" fontId="47" fillId="66" borderId="41" xfId="0" applyFont="1" applyFill="1" applyBorder="1" applyAlignment="1">
      <alignment horizontal="center" vertical="center" wrapText="1"/>
    </xf>
    <xf numFmtId="0" fontId="47" fillId="67" borderId="41" xfId="0" applyFont="1" applyFill="1" applyBorder="1" applyAlignment="1">
      <alignment horizontal="center" vertical="center" wrapText="1"/>
    </xf>
    <xf numFmtId="0" fontId="5" fillId="10" borderId="82" xfId="0" applyFont="1" applyFill="1" applyBorder="1" applyAlignment="1">
      <alignment horizontal="center" vertical="center"/>
    </xf>
    <xf numFmtId="0" fontId="4" fillId="0" borderId="82" xfId="0" applyFont="1" applyBorder="1" applyAlignment="1">
      <alignment horizontal="center" vertical="center" wrapText="1"/>
    </xf>
    <xf numFmtId="0" fontId="5" fillId="0" borderId="82" xfId="0" applyFont="1" applyBorder="1" applyAlignment="1">
      <alignment horizontal="center" vertical="center" wrapText="1"/>
    </xf>
    <xf numFmtId="0" fontId="17" fillId="0" borderId="82" xfId="0" applyFont="1" applyBorder="1" applyAlignment="1">
      <alignment horizontal="center" vertical="center" wrapText="1"/>
    </xf>
    <xf numFmtId="0" fontId="4" fillId="42" borderId="82" xfId="0" applyFont="1" applyFill="1" applyBorder="1" applyAlignment="1">
      <alignment horizontal="center" vertical="center" wrapText="1"/>
    </xf>
    <xf numFmtId="0" fontId="8" fillId="0" borderId="82" xfId="0" applyFont="1" applyBorder="1" applyAlignment="1">
      <alignment horizontal="center" vertical="center" wrapText="1"/>
    </xf>
    <xf numFmtId="0" fontId="4" fillId="77" borderId="82" xfId="0" applyFont="1" applyFill="1" applyBorder="1" applyAlignment="1">
      <alignment horizontal="center" vertical="center" wrapText="1"/>
    </xf>
    <xf numFmtId="0" fontId="4" fillId="0" borderId="82" xfId="0" applyFont="1" applyFill="1" applyBorder="1" applyAlignment="1">
      <alignment horizontal="center" vertical="center" wrapText="1"/>
    </xf>
    <xf numFmtId="0" fontId="4" fillId="0" borderId="40" xfId="0" applyFont="1" applyBorder="1" applyAlignment="1">
      <alignment horizontal="center" vertical="center" wrapText="1"/>
    </xf>
    <xf numFmtId="0" fontId="15" fillId="0" borderId="82" xfId="0" applyFont="1" applyBorder="1" applyAlignment="1">
      <alignment horizontal="center" vertical="center" wrapText="1"/>
    </xf>
    <xf numFmtId="0" fontId="4" fillId="29" borderId="82" xfId="0" applyFont="1" applyFill="1" applyBorder="1" applyAlignment="1">
      <alignment horizontal="center" vertical="center" wrapText="1"/>
    </xf>
    <xf numFmtId="0" fontId="4" fillId="2" borderId="82" xfId="0" applyFont="1" applyFill="1" applyBorder="1" applyAlignment="1">
      <alignment horizontal="center" vertical="center" wrapText="1"/>
    </xf>
    <xf numFmtId="0" fontId="20" fillId="0" borderId="82" xfId="0" applyFont="1" applyBorder="1" applyAlignment="1">
      <alignment horizontal="center" vertical="center" wrapText="1"/>
    </xf>
    <xf numFmtId="0" fontId="20" fillId="0" borderId="40" xfId="0" applyFont="1" applyBorder="1" applyAlignment="1">
      <alignment horizontal="center" vertical="center" wrapText="1"/>
    </xf>
    <xf numFmtId="0" fontId="5" fillId="0" borderId="40" xfId="0" applyFont="1" applyBorder="1" applyAlignment="1">
      <alignment horizontal="center" vertical="center" wrapText="1"/>
    </xf>
    <xf numFmtId="0" fontId="105" fillId="0" borderId="82" xfId="0" applyFont="1" applyFill="1" applyBorder="1" applyAlignment="1">
      <alignment horizontal="center" vertical="center"/>
    </xf>
    <xf numFmtId="0" fontId="105" fillId="0" borderId="82" xfId="0" applyFont="1" applyBorder="1" applyAlignment="1">
      <alignment horizontal="center" vertical="center"/>
    </xf>
    <xf numFmtId="0" fontId="105" fillId="43" borderId="82" xfId="0" applyFont="1" applyFill="1" applyBorder="1" applyAlignment="1">
      <alignment horizontal="center" vertical="center"/>
    </xf>
    <xf numFmtId="0" fontId="24" fillId="32" borderId="29" xfId="0" applyFont="1" applyFill="1" applyBorder="1" applyAlignment="1">
      <alignment horizontal="center" vertical="center" wrapText="1"/>
    </xf>
    <xf numFmtId="0" fontId="24" fillId="32" borderId="28" xfId="0" applyFont="1" applyFill="1" applyBorder="1" applyAlignment="1">
      <alignment horizontal="center" vertical="center" wrapText="1"/>
    </xf>
    <xf numFmtId="0" fontId="24" fillId="3" borderId="29" xfId="0" applyFont="1" applyFill="1" applyBorder="1" applyAlignment="1">
      <alignment horizontal="center" vertical="center" wrapText="1"/>
    </xf>
    <xf numFmtId="0" fontId="2" fillId="0" borderId="0" xfId="0" applyFont="1" applyAlignment="1"/>
    <xf numFmtId="0" fontId="2" fillId="0" borderId="0" xfId="0" applyFont="1" applyAlignment="1">
      <alignment horizontal="center" vertical="center" wrapText="1"/>
    </xf>
    <xf numFmtId="9" fontId="2" fillId="24" borderId="2" xfId="1" applyFont="1" applyFill="1" applyBorder="1" applyAlignment="1">
      <alignment horizontal="center" vertical="center" wrapText="1"/>
    </xf>
    <xf numFmtId="0" fontId="14" fillId="0" borderId="0" xfId="0" applyFont="1" applyAlignment="1">
      <alignment horizontal="left" vertical="center" wrapText="1"/>
    </xf>
    <xf numFmtId="0" fontId="2" fillId="23" borderId="5" xfId="0" applyFont="1" applyFill="1" applyBorder="1" applyAlignment="1">
      <alignment horizontal="left" vertical="center" wrapText="1"/>
    </xf>
    <xf numFmtId="0" fontId="2" fillId="19" borderId="5" xfId="0" applyFont="1" applyFill="1" applyBorder="1" applyAlignment="1">
      <alignment horizontal="left" vertical="center" wrapText="1"/>
    </xf>
    <xf numFmtId="0" fontId="9" fillId="32" borderId="5" xfId="0" applyFont="1" applyFill="1" applyBorder="1" applyAlignment="1">
      <alignment horizontal="left" vertical="center" wrapText="1"/>
    </xf>
    <xf numFmtId="0" fontId="9" fillId="78" borderId="11" xfId="0" applyFont="1" applyFill="1" applyBorder="1" applyAlignment="1">
      <alignment horizontal="left" vertical="center" wrapText="1"/>
    </xf>
    <xf numFmtId="0" fontId="11" fillId="0" borderId="0" xfId="0" applyFont="1"/>
    <xf numFmtId="0" fontId="14" fillId="0" borderId="40" xfId="0" applyFont="1" applyFill="1" applyBorder="1" applyAlignment="1">
      <alignment vertical="center" wrapText="1"/>
    </xf>
    <xf numFmtId="0" fontId="122" fillId="43" borderId="40" xfId="0" applyFont="1" applyFill="1" applyBorder="1" applyAlignment="1">
      <alignment vertical="center" wrapText="1"/>
    </xf>
    <xf numFmtId="0" fontId="122" fillId="43" borderId="40" xfId="0" applyFont="1" applyFill="1" applyBorder="1" applyAlignment="1">
      <alignment horizontal="center" vertical="center" wrapText="1"/>
    </xf>
    <xf numFmtId="0" fontId="26" fillId="43" borderId="40" xfId="0" applyFont="1" applyFill="1" applyBorder="1" applyAlignment="1">
      <alignment horizontal="center" vertical="center" wrapText="1"/>
    </xf>
    <xf numFmtId="0" fontId="26" fillId="0" borderId="0" xfId="0" applyFont="1" applyFill="1" applyAlignment="1">
      <alignment vertical="center" wrapText="1"/>
    </xf>
    <xf numFmtId="0" fontId="2" fillId="0" borderId="0" xfId="0" applyFont="1" applyAlignment="1">
      <alignment vertical="center" wrapText="1"/>
    </xf>
    <xf numFmtId="0" fontId="2" fillId="33" borderId="0" xfId="0" applyFont="1" applyFill="1" applyAlignment="1">
      <alignment horizontal="center" vertical="center"/>
    </xf>
    <xf numFmtId="0" fontId="2" fillId="33" borderId="0" xfId="0" applyFont="1" applyFill="1" applyBorder="1" applyAlignment="1">
      <alignment vertical="center" readingOrder="1"/>
    </xf>
    <xf numFmtId="0" fontId="2" fillId="0" borderId="0" xfId="0" applyFont="1" applyAlignment="1">
      <alignment horizontal="center"/>
    </xf>
    <xf numFmtId="0" fontId="111" fillId="86" borderId="75" xfId="0" applyFont="1" applyFill="1" applyBorder="1" applyAlignment="1">
      <alignment horizontal="center" vertical="center" wrapText="1"/>
    </xf>
    <xf numFmtId="0" fontId="111" fillId="86" borderId="41" xfId="0" applyFont="1" applyFill="1" applyBorder="1" applyAlignment="1">
      <alignment horizontal="center" vertical="center" wrapText="1"/>
    </xf>
    <xf numFmtId="0" fontId="112" fillId="0" borderId="41" xfId="0" applyFont="1" applyBorder="1" applyAlignment="1">
      <alignment horizontal="center" vertical="center" wrapText="1"/>
    </xf>
    <xf numFmtId="0" fontId="112" fillId="0" borderId="41" xfId="0" applyFont="1" applyBorder="1" applyAlignment="1">
      <alignment vertical="center" wrapText="1"/>
    </xf>
    <xf numFmtId="0" fontId="112" fillId="0" borderId="42" xfId="0" applyFont="1" applyBorder="1" applyAlignment="1">
      <alignment horizontal="center" vertical="center" wrapText="1"/>
    </xf>
    <xf numFmtId="0" fontId="112" fillId="0" borderId="41" xfId="7" applyFont="1" applyFill="1" applyBorder="1" applyAlignment="1">
      <alignment horizontal="center" vertical="center" wrapText="1"/>
    </xf>
    <xf numFmtId="0" fontId="112" fillId="0" borderId="41" xfId="7" applyFont="1" applyFill="1" applyBorder="1" applyAlignment="1">
      <alignment horizontal="left" vertical="center" wrapText="1"/>
    </xf>
    <xf numFmtId="0" fontId="112" fillId="0" borderId="42" xfId="0" applyFont="1" applyBorder="1" applyAlignment="1">
      <alignment horizontal="left" vertical="center" wrapText="1"/>
    </xf>
    <xf numFmtId="0" fontId="20" fillId="0" borderId="76" xfId="0" applyFont="1" applyBorder="1" applyAlignment="1">
      <alignment horizontal="center" vertical="center" wrapText="1"/>
    </xf>
    <xf numFmtId="0" fontId="82" fillId="0" borderId="76" xfId="0" applyFont="1" applyBorder="1" applyAlignment="1">
      <alignment horizontal="center" vertical="center" wrapText="1"/>
    </xf>
    <xf numFmtId="0" fontId="20" fillId="0" borderId="76" xfId="0" applyFont="1" applyBorder="1" applyAlignment="1">
      <alignment vertical="center" wrapText="1"/>
    </xf>
    <xf numFmtId="0" fontId="4" fillId="0" borderId="76" xfId="0" applyFont="1" applyBorder="1" applyAlignment="1">
      <alignment horizontal="center" vertical="center" wrapText="1"/>
    </xf>
    <xf numFmtId="0" fontId="8" fillId="0" borderId="76" xfId="0" applyFont="1" applyBorder="1" applyAlignment="1">
      <alignment horizontal="center" vertical="center" wrapText="1"/>
    </xf>
    <xf numFmtId="0" fontId="4" fillId="0" borderId="76" xfId="0" applyFont="1" applyBorder="1" applyAlignment="1">
      <alignment vertical="center" wrapText="1"/>
    </xf>
    <xf numFmtId="0" fontId="4" fillId="0" borderId="92" xfId="0" applyFont="1" applyBorder="1" applyAlignment="1">
      <alignment horizontal="center" vertical="center" wrapText="1"/>
    </xf>
    <xf numFmtId="0" fontId="20" fillId="0" borderId="92" xfId="0" applyFont="1" applyBorder="1" applyAlignment="1">
      <alignment horizontal="center" vertical="center" wrapText="1"/>
    </xf>
    <xf numFmtId="0" fontId="15" fillId="0" borderId="92" xfId="0" applyFont="1" applyBorder="1" applyAlignment="1">
      <alignment horizontal="center" vertical="center" wrapText="1"/>
    </xf>
    <xf numFmtId="0" fontId="4" fillId="42" borderId="92" xfId="0" applyFont="1" applyFill="1" applyBorder="1" applyAlignment="1">
      <alignment horizontal="center" vertical="center" wrapText="1"/>
    </xf>
    <xf numFmtId="0" fontId="4" fillId="0" borderId="92" xfId="0" applyFont="1" applyFill="1" applyBorder="1" applyAlignment="1">
      <alignment horizontal="center" vertical="center" wrapText="1"/>
    </xf>
    <xf numFmtId="0" fontId="4" fillId="77" borderId="92" xfId="0" applyFont="1" applyFill="1" applyBorder="1" applyAlignment="1">
      <alignment horizontal="center" vertical="center" wrapText="1"/>
    </xf>
    <xf numFmtId="0" fontId="105" fillId="0" borderId="92" xfId="0" applyFont="1" applyFill="1" applyBorder="1" applyAlignment="1">
      <alignment horizontal="center" vertical="center"/>
    </xf>
    <xf numFmtId="0" fontId="17" fillId="0" borderId="94" xfId="0" applyFont="1" applyBorder="1" applyAlignment="1">
      <alignment horizontal="center" vertical="center" wrapText="1"/>
    </xf>
    <xf numFmtId="0" fontId="4" fillId="29" borderId="94" xfId="0" applyFont="1" applyFill="1" applyBorder="1" applyAlignment="1">
      <alignment horizontal="center" vertical="center" wrapText="1"/>
    </xf>
    <xf numFmtId="0" fontId="4" fillId="77" borderId="94" xfId="0" applyFont="1" applyFill="1" applyBorder="1" applyAlignment="1">
      <alignment horizontal="center" vertical="center" wrapText="1"/>
    </xf>
    <xf numFmtId="0" fontId="81" fillId="0" borderId="94" xfId="0" applyFont="1" applyFill="1" applyBorder="1" applyAlignment="1">
      <alignment horizontal="left" vertical="center"/>
    </xf>
    <xf numFmtId="0" fontId="4" fillId="0" borderId="95" xfId="0" applyFont="1" applyBorder="1" applyAlignment="1">
      <alignment horizontal="center" vertical="center" wrapText="1"/>
    </xf>
    <xf numFmtId="0" fontId="5" fillId="0" borderId="95" xfId="0" applyFont="1" applyBorder="1" applyAlignment="1">
      <alignment horizontal="center" vertical="center" wrapText="1"/>
    </xf>
    <xf numFmtId="0" fontId="4" fillId="2" borderId="95" xfId="0" applyFont="1" applyFill="1" applyBorder="1" applyAlignment="1">
      <alignment horizontal="center" vertical="center" wrapText="1"/>
    </xf>
    <xf numFmtId="0" fontId="4" fillId="77" borderId="95" xfId="0" applyFont="1" applyFill="1" applyBorder="1" applyAlignment="1">
      <alignment horizontal="center" vertical="center" wrapText="1"/>
    </xf>
    <xf numFmtId="0" fontId="105" fillId="0" borderId="95" xfId="0" applyFont="1" applyFill="1" applyBorder="1" applyAlignment="1">
      <alignment horizontal="center" vertical="center"/>
    </xf>
    <xf numFmtId="0" fontId="124" fillId="43" borderId="92" xfId="0" applyFont="1" applyFill="1" applyBorder="1" applyAlignment="1">
      <alignment horizontal="center" vertical="center" wrapText="1"/>
    </xf>
    <xf numFmtId="0" fontId="4" fillId="0" borderId="97" xfId="0" applyFont="1" applyBorder="1" applyAlignment="1">
      <alignment horizontal="center" vertical="center" wrapText="1"/>
    </xf>
    <xf numFmtId="0" fontId="20" fillId="0" borderId="98" xfId="0" applyFont="1" applyBorder="1" applyAlignment="1">
      <alignment horizontal="center" vertical="center" wrapText="1"/>
    </xf>
    <xf numFmtId="0" fontId="5" fillId="0" borderId="97" xfId="0" applyFont="1" applyBorder="1" applyAlignment="1">
      <alignment horizontal="center" vertical="center" wrapText="1"/>
    </xf>
    <xf numFmtId="0" fontId="4" fillId="2" borderId="97" xfId="0" applyFont="1" applyFill="1" applyBorder="1" applyAlignment="1">
      <alignment horizontal="center" vertical="center" wrapText="1"/>
    </xf>
    <xf numFmtId="0" fontId="8" fillId="0" borderId="97" xfId="0" applyFont="1" applyBorder="1" applyAlignment="1">
      <alignment horizontal="center" vertical="center" wrapText="1"/>
    </xf>
    <xf numFmtId="0" fontId="4" fillId="77" borderId="97" xfId="0" applyFont="1" applyFill="1" applyBorder="1" applyAlignment="1">
      <alignment horizontal="center" vertical="center" wrapText="1"/>
    </xf>
    <xf numFmtId="0" fontId="105" fillId="0" borderId="97" xfId="0" applyFont="1" applyFill="1" applyBorder="1" applyAlignment="1">
      <alignment horizontal="center" vertical="center"/>
    </xf>
    <xf numFmtId="0" fontId="4" fillId="0" borderId="99" xfId="0" applyFont="1" applyBorder="1" applyAlignment="1">
      <alignment horizontal="center" vertical="center" wrapText="1"/>
    </xf>
    <xf numFmtId="0" fontId="5" fillId="0" borderId="99" xfId="0" applyFont="1" applyBorder="1" applyAlignment="1">
      <alignment horizontal="center" vertical="center" wrapText="1"/>
    </xf>
    <xf numFmtId="0" fontId="4" fillId="42" borderId="99" xfId="0" applyFont="1" applyFill="1" applyBorder="1" applyAlignment="1">
      <alignment horizontal="center" vertical="center" wrapText="1"/>
    </xf>
    <xf numFmtId="0" fontId="4" fillId="0" borderId="99" xfId="0" applyFont="1" applyFill="1" applyBorder="1" applyAlignment="1">
      <alignment horizontal="center" vertical="center" wrapText="1"/>
    </xf>
    <xf numFmtId="0" fontId="4" fillId="77" borderId="99" xfId="0" applyFont="1" applyFill="1" applyBorder="1" applyAlignment="1">
      <alignment horizontal="center" vertical="center" wrapText="1"/>
    </xf>
    <xf numFmtId="0" fontId="105" fillId="0" borderId="99" xfId="0" applyFont="1" applyFill="1" applyBorder="1" applyAlignment="1">
      <alignment horizontal="center" vertical="center"/>
    </xf>
    <xf numFmtId="0" fontId="4" fillId="0" borderId="94" xfId="0" applyFont="1" applyBorder="1" applyAlignment="1">
      <alignment horizontal="center" vertical="center" wrapText="1"/>
    </xf>
    <xf numFmtId="0" fontId="5" fillId="0" borderId="94" xfId="0" applyFont="1" applyBorder="1" applyAlignment="1">
      <alignment horizontal="center" vertical="center" wrapText="1"/>
    </xf>
    <xf numFmtId="0" fontId="4" fillId="2" borderId="94" xfId="0" applyFont="1" applyFill="1" applyBorder="1" applyAlignment="1">
      <alignment horizontal="center" vertical="center" wrapText="1"/>
    </xf>
    <xf numFmtId="0" fontId="4" fillId="0" borderId="94" xfId="0" applyFont="1" applyFill="1" applyBorder="1" applyAlignment="1">
      <alignment horizontal="center" vertical="center" wrapText="1"/>
    </xf>
    <xf numFmtId="0" fontId="105" fillId="0" borderId="94" xfId="0" applyFont="1" applyFill="1" applyBorder="1" applyAlignment="1">
      <alignment horizontal="center" vertical="center"/>
    </xf>
    <xf numFmtId="0" fontId="20" fillId="0" borderId="94" xfId="0" applyFont="1" applyFill="1" applyBorder="1" applyAlignment="1">
      <alignment horizontal="center" vertical="center" wrapText="1"/>
    </xf>
    <xf numFmtId="0" fontId="123" fillId="0" borderId="94" xfId="0" applyFont="1" applyBorder="1" applyAlignment="1">
      <alignment horizontal="center" vertical="center" wrapText="1"/>
    </xf>
    <xf numFmtId="0" fontId="15" fillId="0" borderId="94" xfId="0" applyFont="1" applyFill="1" applyBorder="1" applyAlignment="1">
      <alignment horizontal="center" vertical="center" wrapText="1"/>
    </xf>
    <xf numFmtId="0" fontId="20" fillId="0" borderId="94" xfId="0" applyFont="1" applyFill="1" applyBorder="1" applyAlignment="1">
      <alignment vertical="center"/>
    </xf>
    <xf numFmtId="0" fontId="20" fillId="0" borderId="94" xfId="0" applyFont="1" applyFill="1" applyBorder="1" applyAlignment="1">
      <alignment horizontal="left" vertical="center"/>
    </xf>
    <xf numFmtId="0" fontId="20" fillId="0" borderId="94" xfId="0" applyFont="1" applyBorder="1" applyAlignment="1">
      <alignment horizontal="center" vertical="center" wrapText="1"/>
    </xf>
    <xf numFmtId="0" fontId="4" fillId="42" borderId="94" xfId="0" applyFont="1" applyFill="1" applyBorder="1" applyAlignment="1">
      <alignment horizontal="center" vertical="center" wrapText="1"/>
    </xf>
    <xf numFmtId="0" fontId="8" fillId="0" borderId="94" xfId="0" applyFont="1" applyBorder="1" applyAlignment="1">
      <alignment horizontal="center" vertical="center" wrapText="1"/>
    </xf>
    <xf numFmtId="0" fontId="4" fillId="0" borderId="100" xfId="0" applyFont="1" applyBorder="1" applyAlignment="1">
      <alignment horizontal="center" vertical="center" wrapText="1"/>
    </xf>
    <xf numFmtId="0" fontId="4" fillId="77" borderId="101" xfId="0" applyFont="1" applyFill="1" applyBorder="1" applyAlignment="1">
      <alignment horizontal="center" vertical="center" wrapText="1"/>
    </xf>
    <xf numFmtId="0" fontId="71" fillId="0" borderId="0" xfId="0" applyFont="1" applyAlignment="1">
      <alignment horizontal="left" vertical="center"/>
    </xf>
    <xf numFmtId="0" fontId="77" fillId="77" borderId="31" xfId="0" applyFont="1" applyFill="1" applyBorder="1" applyAlignment="1">
      <alignment horizontal="center" vertical="center" wrapText="1"/>
    </xf>
    <xf numFmtId="0" fontId="24" fillId="32" borderId="5" xfId="0" applyFont="1" applyFill="1" applyBorder="1" applyAlignment="1">
      <alignment horizontal="center" vertical="center" wrapText="1"/>
    </xf>
    <xf numFmtId="0" fontId="63" fillId="0" borderId="0" xfId="0" applyFont="1" applyAlignment="1"/>
    <xf numFmtId="0" fontId="29" fillId="0" borderId="0" xfId="0" applyFont="1" applyAlignment="1"/>
    <xf numFmtId="0" fontId="2" fillId="0" borderId="40" xfId="0" applyFont="1" applyBorder="1" applyAlignment="1">
      <alignment horizontal="center" vertical="center"/>
    </xf>
    <xf numFmtId="0" fontId="105" fillId="4" borderId="2" xfId="0" applyFont="1" applyFill="1" applyBorder="1" applyAlignment="1">
      <alignment horizontal="center" vertical="center"/>
    </xf>
    <xf numFmtId="0" fontId="105" fillId="23" borderId="5" xfId="0" applyFont="1" applyFill="1" applyBorder="1" applyAlignment="1">
      <alignment horizontal="center" vertical="center"/>
    </xf>
    <xf numFmtId="0" fontId="105" fillId="19" borderId="5" xfId="0" applyFont="1" applyFill="1" applyBorder="1" applyAlignment="1">
      <alignment horizontal="center" vertical="center"/>
    </xf>
    <xf numFmtId="0" fontId="106" fillId="32" borderId="5" xfId="0" applyFont="1" applyFill="1" applyBorder="1" applyAlignment="1">
      <alignment horizontal="center" vertical="center"/>
    </xf>
    <xf numFmtId="0" fontId="106" fillId="78" borderId="11" xfId="0" applyFont="1" applyFill="1" applyBorder="1" applyAlignment="1">
      <alignment horizontal="center" vertical="center"/>
    </xf>
    <xf numFmtId="9" fontId="105" fillId="4" borderId="2" xfId="1" applyFont="1" applyFill="1" applyBorder="1" applyAlignment="1">
      <alignment horizontal="center" vertical="center"/>
    </xf>
    <xf numFmtId="0" fontId="105" fillId="4" borderId="27" xfId="0" applyFont="1" applyFill="1" applyBorder="1" applyAlignment="1">
      <alignment horizontal="center" vertical="center"/>
    </xf>
    <xf numFmtId="0" fontId="105" fillId="23" borderId="27" xfId="0" applyFont="1" applyFill="1" applyBorder="1" applyAlignment="1">
      <alignment horizontal="center" vertical="center"/>
    </xf>
    <xf numFmtId="0" fontId="105" fillId="19" borderId="27" xfId="0" applyFont="1" applyFill="1" applyBorder="1" applyAlignment="1">
      <alignment horizontal="center" vertical="center"/>
    </xf>
    <xf numFmtId="0" fontId="106" fillId="32" borderId="27" xfId="0" applyFont="1" applyFill="1" applyBorder="1" applyAlignment="1">
      <alignment horizontal="center" vertical="center"/>
    </xf>
    <xf numFmtId="0" fontId="106" fillId="78" borderId="27" xfId="0" applyFont="1" applyFill="1" applyBorder="1" applyAlignment="1">
      <alignment horizontal="center" vertical="center"/>
    </xf>
    <xf numFmtId="0" fontId="105" fillId="4" borderId="0" xfId="0" applyFont="1" applyFill="1" applyAlignment="1">
      <alignment horizontal="center" vertical="center"/>
    </xf>
    <xf numFmtId="0" fontId="105" fillId="23" borderId="0" xfId="0" applyFont="1" applyFill="1" applyAlignment="1">
      <alignment horizontal="center" vertical="center"/>
    </xf>
    <xf numFmtId="0" fontId="105" fillId="19" borderId="0" xfId="0" applyFont="1" applyFill="1" applyAlignment="1">
      <alignment horizontal="center" vertical="center"/>
    </xf>
    <xf numFmtId="0" fontId="106" fillId="32" borderId="0" xfId="0" applyFont="1" applyFill="1" applyAlignment="1">
      <alignment horizontal="center" vertical="center"/>
    </xf>
    <xf numFmtId="0" fontId="106" fillId="78" borderId="0" xfId="0" applyFont="1" applyFill="1" applyAlignment="1">
      <alignment horizontal="center" vertical="center"/>
    </xf>
    <xf numFmtId="9" fontId="105" fillId="4" borderId="69" xfId="1" applyFont="1" applyFill="1" applyBorder="1" applyAlignment="1">
      <alignment horizontal="center" vertical="center"/>
    </xf>
    <xf numFmtId="0" fontId="105" fillId="23" borderId="69" xfId="0" applyFont="1" applyFill="1" applyBorder="1" applyAlignment="1">
      <alignment horizontal="center" vertical="center"/>
    </xf>
    <xf numFmtId="0" fontId="105" fillId="19" borderId="69" xfId="0" applyFont="1" applyFill="1" applyBorder="1" applyAlignment="1">
      <alignment horizontal="center" vertical="center"/>
    </xf>
    <xf numFmtId="0" fontId="106" fillId="32" borderId="69" xfId="0" applyFont="1" applyFill="1" applyBorder="1" applyAlignment="1">
      <alignment horizontal="center" vertical="center"/>
    </xf>
    <xf numFmtId="0" fontId="106" fillId="78" borderId="70" xfId="0" applyFont="1" applyFill="1" applyBorder="1" applyAlignment="1">
      <alignment horizontal="center" vertical="center"/>
    </xf>
    <xf numFmtId="9" fontId="105" fillId="24" borderId="2" xfId="1" applyFont="1" applyFill="1" applyBorder="1" applyAlignment="1">
      <alignment horizontal="center" vertical="center"/>
    </xf>
    <xf numFmtId="0" fontId="105" fillId="24" borderId="2" xfId="1" applyNumberFormat="1" applyFont="1" applyFill="1" applyBorder="1" applyAlignment="1">
      <alignment horizontal="center" vertical="center"/>
    </xf>
    <xf numFmtId="0" fontId="26" fillId="0" borderId="0" xfId="0" applyFont="1" applyAlignment="1"/>
    <xf numFmtId="9" fontId="2" fillId="0" borderId="0" xfId="0" applyNumberFormat="1" applyFont="1" applyAlignment="1">
      <alignment horizontal="center"/>
    </xf>
    <xf numFmtId="0" fontId="4" fillId="58" borderId="32" xfId="0" applyFont="1" applyFill="1" applyBorder="1" applyAlignment="1"/>
    <xf numFmtId="0" fontId="4" fillId="58" borderId="32" xfId="0" applyFont="1" applyFill="1" applyBorder="1" applyAlignment="1">
      <alignment horizontal="right"/>
    </xf>
    <xf numFmtId="0" fontId="5" fillId="58" borderId="32" xfId="0" applyFont="1" applyFill="1" applyBorder="1" applyAlignment="1"/>
    <xf numFmtId="0" fontId="4" fillId="57" borderId="32" xfId="0" applyFont="1" applyFill="1" applyBorder="1" applyAlignment="1"/>
    <xf numFmtId="0" fontId="4" fillId="57" borderId="32" xfId="0" applyFont="1" applyFill="1" applyBorder="1" applyAlignment="1">
      <alignment horizontal="right"/>
    </xf>
    <xf numFmtId="0" fontId="53" fillId="51" borderId="32" xfId="0" applyFont="1" applyFill="1" applyBorder="1" applyAlignment="1"/>
    <xf numFmtId="0" fontId="4" fillId="51" borderId="32" xfId="0" applyFont="1" applyFill="1" applyBorder="1" applyAlignment="1"/>
    <xf numFmtId="0" fontId="4" fillId="51" borderId="32" xfId="0" applyFont="1" applyFill="1" applyBorder="1" applyAlignment="1">
      <alignment horizontal="right"/>
    </xf>
    <xf numFmtId="0" fontId="8" fillId="51" borderId="32" xfId="0" applyFont="1" applyFill="1" applyBorder="1" applyAlignment="1"/>
    <xf numFmtId="0" fontId="4" fillId="52" borderId="32" xfId="0" applyFont="1" applyFill="1" applyBorder="1" applyAlignment="1"/>
    <xf numFmtId="0" fontId="8" fillId="52" borderId="32" xfId="0" applyFont="1" applyFill="1" applyBorder="1" applyAlignment="1"/>
    <xf numFmtId="0" fontId="4" fillId="52" borderId="32" xfId="0" applyFont="1" applyFill="1" applyBorder="1" applyAlignment="1">
      <alignment horizontal="right"/>
    </xf>
    <xf numFmtId="0" fontId="4" fillId="53" borderId="32" xfId="0" applyFont="1" applyFill="1" applyBorder="1" applyAlignment="1"/>
    <xf numFmtId="0" fontId="4" fillId="53" borderId="32" xfId="0" applyFont="1" applyFill="1" applyBorder="1" applyAlignment="1">
      <alignment horizontal="right"/>
    </xf>
    <xf numFmtId="0" fontId="8" fillId="53" borderId="32" xfId="0" applyFont="1" applyFill="1" applyBorder="1" applyAlignment="1"/>
    <xf numFmtId="0" fontId="8" fillId="54" borderId="32" xfId="0" applyFont="1" applyFill="1" applyBorder="1" applyAlignment="1"/>
    <xf numFmtId="0" fontId="53" fillId="54" borderId="32" xfId="0" applyFont="1" applyFill="1" applyBorder="1" applyAlignment="1"/>
    <xf numFmtId="0" fontId="4" fillId="54" borderId="32" xfId="0" applyFont="1" applyFill="1" applyBorder="1" applyAlignment="1"/>
    <xf numFmtId="0" fontId="8" fillId="54" borderId="32" xfId="0" applyFont="1" applyFill="1" applyBorder="1" applyAlignment="1">
      <alignment horizontal="right"/>
    </xf>
    <xf numFmtId="0" fontId="8" fillId="52" borderId="32" xfId="0" applyFont="1" applyFill="1" applyBorder="1" applyAlignment="1">
      <alignment horizontal="right"/>
    </xf>
    <xf numFmtId="0" fontId="4" fillId="55" borderId="32" xfId="0" applyFont="1" applyFill="1" applyBorder="1" applyAlignment="1"/>
    <xf numFmtId="0" fontId="8" fillId="55" borderId="32" xfId="0" applyFont="1" applyFill="1" applyBorder="1" applyAlignment="1"/>
    <xf numFmtId="0" fontId="4" fillId="55" borderId="32" xfId="0" applyFont="1" applyFill="1" applyBorder="1" applyAlignment="1">
      <alignment horizontal="right"/>
    </xf>
    <xf numFmtId="0" fontId="4" fillId="56" borderId="32" xfId="0" applyFont="1" applyFill="1" applyBorder="1" applyAlignment="1"/>
    <xf numFmtId="0" fontId="4" fillId="56" borderId="32" xfId="0" applyFont="1" applyFill="1" applyBorder="1" applyAlignment="1">
      <alignment horizontal="right"/>
    </xf>
    <xf numFmtId="0" fontId="8" fillId="57" borderId="32" xfId="0" applyFont="1" applyFill="1" applyBorder="1" applyAlignment="1"/>
    <xf numFmtId="0" fontId="8" fillId="57" borderId="32" xfId="0" applyFont="1" applyFill="1" applyBorder="1" applyAlignment="1">
      <alignment horizontal="right"/>
    </xf>
    <xf numFmtId="0" fontId="8" fillId="44" borderId="0" xfId="5" applyFont="1" applyFill="1" applyAlignment="1">
      <alignment horizontal="center"/>
    </xf>
    <xf numFmtId="0" fontId="98" fillId="44" borderId="0" xfId="0" applyFont="1" applyFill="1" applyAlignment="1">
      <alignment horizontal="center"/>
    </xf>
    <xf numFmtId="49" fontId="33" fillId="0" borderId="32" xfId="0" applyNumberFormat="1" applyFont="1" applyBorder="1" applyAlignment="1">
      <alignment horizontal="center"/>
    </xf>
    <xf numFmtId="0" fontId="53" fillId="0" borderId="32" xfId="0" applyFont="1" applyBorder="1" applyAlignment="1">
      <alignment horizontal="center"/>
    </xf>
    <xf numFmtId="0" fontId="4" fillId="0" borderId="32" xfId="0" applyFont="1" applyBorder="1" applyAlignment="1">
      <alignment horizontal="center"/>
    </xf>
    <xf numFmtId="0" fontId="48" fillId="0" borderId="32" xfId="0" applyFont="1" applyBorder="1" applyAlignment="1">
      <alignment horizontal="center"/>
    </xf>
    <xf numFmtId="0" fontId="4" fillId="0" borderId="0" xfId="5" applyFont="1" applyAlignment="1">
      <alignment horizontal="center"/>
    </xf>
    <xf numFmtId="0" fontId="8" fillId="0" borderId="0" xfId="5" applyFont="1" applyAlignment="1">
      <alignment horizontal="center"/>
    </xf>
    <xf numFmtId="0" fontId="33" fillId="0" borderId="0" xfId="5" applyFont="1" applyAlignment="1">
      <alignment horizontal="left"/>
    </xf>
    <xf numFmtId="0" fontId="71" fillId="0" borderId="0" xfId="5" applyFont="1" applyAlignment="1">
      <alignment horizontal="left"/>
    </xf>
    <xf numFmtId="0" fontId="99" fillId="0" borderId="0" xfId="6" applyFont="1" applyAlignment="1">
      <alignment horizontal="left"/>
    </xf>
    <xf numFmtId="0" fontId="4" fillId="0" borderId="51" xfId="0" applyFont="1" applyBorder="1" applyAlignment="1"/>
    <xf numFmtId="0" fontId="4" fillId="0" borderId="52" xfId="0" applyFont="1" applyBorder="1" applyAlignment="1"/>
    <xf numFmtId="0" fontId="4" fillId="0" borderId="55" xfId="0" applyFont="1" applyBorder="1" applyAlignment="1"/>
    <xf numFmtId="0" fontId="4" fillId="0" borderId="56" xfId="0" applyFont="1" applyBorder="1" applyAlignment="1"/>
    <xf numFmtId="0" fontId="4" fillId="0" borderId="57" xfId="0" applyFont="1" applyBorder="1" applyAlignment="1"/>
    <xf numFmtId="0" fontId="19" fillId="0" borderId="40" xfId="0" applyFont="1" applyBorder="1" applyAlignment="1">
      <alignment horizontal="center" vertical="center" wrapText="1"/>
    </xf>
    <xf numFmtId="0" fontId="5" fillId="0" borderId="40" xfId="0" applyFont="1" applyBorder="1" applyAlignment="1">
      <alignment horizontal="center" vertical="center" wrapText="1" readingOrder="1"/>
    </xf>
    <xf numFmtId="0" fontId="4" fillId="0" borderId="40" xfId="0" applyFont="1" applyBorder="1" applyAlignment="1">
      <alignment horizontal="center" vertical="center" wrapText="1" readingOrder="1"/>
    </xf>
    <xf numFmtId="0" fontId="5" fillId="0" borderId="0" xfId="0" applyFont="1" applyAlignment="1">
      <alignment horizontal="center" wrapText="1"/>
    </xf>
    <xf numFmtId="0" fontId="5" fillId="77" borderId="40" xfId="0" applyFont="1" applyFill="1" applyBorder="1" applyAlignment="1">
      <alignment horizontal="center" vertical="center" wrapText="1"/>
    </xf>
    <xf numFmtId="0" fontId="4" fillId="77" borderId="40" xfId="0" applyFont="1" applyFill="1" applyBorder="1" applyAlignment="1">
      <alignment horizontal="center" vertical="center" wrapText="1"/>
    </xf>
    <xf numFmtId="0" fontId="4" fillId="43" borderId="40" xfId="0" applyFont="1" applyFill="1" applyBorder="1" applyAlignment="1">
      <alignment horizontal="center" vertical="center" wrapText="1"/>
    </xf>
    <xf numFmtId="0" fontId="17" fillId="0" borderId="0" xfId="0" applyFont="1" applyAlignment="1">
      <alignment horizontal="center" vertical="center" wrapText="1"/>
    </xf>
    <xf numFmtId="0" fontId="6" fillId="85" borderId="82" xfId="0" applyFont="1" applyFill="1" applyBorder="1" applyAlignment="1">
      <alignment horizontal="center" vertical="center" wrapText="1"/>
    </xf>
    <xf numFmtId="0" fontId="14" fillId="0" borderId="0" xfId="0" applyFont="1" applyAlignment="1">
      <alignment horizontal="center" wrapText="1"/>
    </xf>
    <xf numFmtId="0" fontId="24" fillId="85" borderId="28" xfId="0" applyFont="1" applyFill="1" applyBorder="1" applyAlignment="1">
      <alignment horizontal="center" vertical="center" wrapText="1"/>
    </xf>
    <xf numFmtId="0" fontId="24" fillId="8" borderId="82" xfId="0" applyFont="1" applyFill="1" applyBorder="1" applyAlignment="1">
      <alignment horizontal="center" vertical="center" wrapText="1"/>
    </xf>
    <xf numFmtId="0" fontId="24" fillId="85" borderId="82" xfId="0" applyFont="1" applyFill="1" applyBorder="1" applyAlignment="1">
      <alignment horizontal="center" vertical="center" wrapText="1"/>
    </xf>
    <xf numFmtId="0" fontId="24" fillId="89" borderId="82" xfId="0" applyFont="1" applyFill="1" applyBorder="1" applyAlignment="1">
      <alignment horizontal="center" vertical="center" wrapText="1"/>
    </xf>
    <xf numFmtId="0" fontId="14" fillId="24" borderId="10" xfId="0" applyFont="1" applyFill="1" applyBorder="1" applyAlignment="1">
      <alignment horizontal="center" vertical="center" wrapText="1"/>
    </xf>
    <xf numFmtId="0" fontId="14" fillId="23" borderId="5" xfId="0" applyFont="1" applyFill="1" applyBorder="1" applyAlignment="1">
      <alignment horizontal="center" vertical="center" wrapText="1"/>
    </xf>
    <xf numFmtId="0" fontId="14" fillId="19" borderId="5" xfId="0" applyFont="1" applyFill="1" applyBorder="1" applyAlignment="1">
      <alignment horizontal="center" vertical="center" wrapText="1"/>
    </xf>
    <xf numFmtId="0" fontId="24" fillId="78" borderId="11" xfId="0" applyFont="1" applyFill="1" applyBorder="1" applyAlignment="1">
      <alignment horizontal="center" vertical="center" wrapText="1"/>
    </xf>
    <xf numFmtId="0" fontId="24" fillId="15" borderId="77" xfId="0" applyFont="1" applyFill="1" applyBorder="1" applyAlignment="1">
      <alignment horizontal="center" vertical="center" wrapText="1"/>
    </xf>
    <xf numFmtId="0" fontId="24" fillId="25" borderId="77" xfId="0" applyFont="1" applyFill="1" applyBorder="1" applyAlignment="1">
      <alignment horizontal="center" vertical="center" wrapText="1"/>
    </xf>
    <xf numFmtId="0" fontId="22" fillId="25" borderId="82" xfId="0" applyFont="1" applyFill="1" applyBorder="1" applyAlignment="1">
      <alignment horizontal="center" vertical="center" wrapText="1"/>
    </xf>
    <xf numFmtId="0" fontId="22" fillId="3" borderId="29" xfId="0" applyFont="1" applyFill="1" applyBorder="1" applyAlignment="1">
      <alignment horizontal="center" vertical="center" wrapText="1"/>
    </xf>
    <xf numFmtId="0" fontId="3" fillId="74" borderId="40" xfId="0" applyFont="1" applyFill="1" applyBorder="1" applyAlignment="1">
      <alignment horizontal="center" vertical="center" wrapText="1"/>
    </xf>
    <xf numFmtId="0" fontId="2" fillId="0" borderId="40" xfId="0" applyFont="1" applyBorder="1" applyAlignment="1">
      <alignment horizontal="center" vertical="center" wrapText="1"/>
    </xf>
    <xf numFmtId="0" fontId="3" fillId="74" borderId="40" xfId="0" applyFont="1" applyFill="1" applyBorder="1" applyAlignment="1">
      <alignment horizontal="center" vertical="center" wrapText="1" readingOrder="1"/>
    </xf>
    <xf numFmtId="0" fontId="127" fillId="0" borderId="40" xfId="0" applyFont="1" applyBorder="1" applyAlignment="1">
      <alignment horizontal="center" vertical="center" wrapText="1" readingOrder="1"/>
    </xf>
    <xf numFmtId="0" fontId="77" fillId="0" borderId="40" xfId="0" applyFont="1" applyBorder="1" applyAlignment="1">
      <alignment horizontal="center" vertical="center" wrapText="1"/>
    </xf>
    <xf numFmtId="0" fontId="6" fillId="74" borderId="40" xfId="0" applyFont="1" applyFill="1" applyBorder="1" applyAlignment="1">
      <alignment horizontal="center" vertical="center" wrapText="1"/>
    </xf>
    <xf numFmtId="0" fontId="1" fillId="0" borderId="40" xfId="0" applyFont="1" applyBorder="1" applyAlignment="1">
      <alignment horizontal="center" vertical="center" wrapText="1"/>
    </xf>
    <xf numFmtId="0" fontId="19" fillId="77" borderId="40" xfId="0" applyFont="1" applyFill="1" applyBorder="1" applyAlignment="1">
      <alignment vertical="center" wrapText="1"/>
    </xf>
    <xf numFmtId="0" fontId="5" fillId="77" borderId="40" xfId="0" applyFont="1" applyFill="1" applyBorder="1" applyAlignment="1">
      <alignment vertical="center" wrapText="1"/>
    </xf>
    <xf numFmtId="0" fontId="15" fillId="77" borderId="40" xfId="0" applyFont="1" applyFill="1" applyBorder="1" applyAlignment="1">
      <alignment vertical="center" wrapText="1"/>
    </xf>
    <xf numFmtId="0" fontId="2" fillId="77" borderId="0" xfId="0" applyFont="1" applyFill="1" applyAlignment="1"/>
    <xf numFmtId="0" fontId="5" fillId="0" borderId="0" xfId="0" applyFont="1" applyAlignment="1">
      <alignment horizontal="center" vertical="center" wrapText="1"/>
    </xf>
    <xf numFmtId="0" fontId="4" fillId="77" borderId="82" xfId="0" applyFont="1" applyFill="1" applyBorder="1" applyAlignment="1">
      <alignment horizontal="center" vertical="center"/>
    </xf>
    <xf numFmtId="0" fontId="4" fillId="0" borderId="82" xfId="0" applyFont="1" applyFill="1" applyBorder="1" applyAlignment="1">
      <alignment horizontal="center" vertical="center"/>
    </xf>
    <xf numFmtId="0" fontId="4" fillId="0" borderId="92" xfId="0" applyFont="1" applyFill="1" applyBorder="1" applyAlignment="1">
      <alignment horizontal="center" vertical="center"/>
    </xf>
    <xf numFmtId="0" fontId="4" fillId="0" borderId="95" xfId="0" applyFont="1" applyFill="1" applyBorder="1" applyAlignment="1">
      <alignment horizontal="center" vertical="center"/>
    </xf>
    <xf numFmtId="0" fontId="4" fillId="0" borderId="97" xfId="0" applyFont="1" applyFill="1" applyBorder="1" applyAlignment="1">
      <alignment horizontal="center" vertical="center"/>
    </xf>
    <xf numFmtId="0" fontId="4" fillId="0" borderId="94" xfId="0" applyFont="1" applyBorder="1" applyAlignment="1">
      <alignment horizontal="center" vertical="center"/>
    </xf>
    <xf numFmtId="0" fontId="4" fillId="0" borderId="94" xfId="0" applyFont="1" applyFill="1" applyBorder="1" applyAlignment="1">
      <alignment horizontal="center" vertical="center"/>
    </xf>
    <xf numFmtId="0" fontId="4" fillId="0" borderId="99" xfId="0" applyFont="1" applyFill="1" applyBorder="1" applyAlignment="1">
      <alignment horizontal="center" vertical="center"/>
    </xf>
    <xf numFmtId="0" fontId="66" fillId="0" borderId="0" xfId="0" applyFont="1" applyFill="1" applyAlignment="1">
      <alignment vertical="center" wrapText="1"/>
    </xf>
    <xf numFmtId="0" fontId="105" fillId="0" borderId="0" xfId="0" applyFont="1" applyFill="1" applyAlignment="1">
      <alignment horizontal="left" vertical="center" wrapText="1"/>
    </xf>
    <xf numFmtId="0" fontId="104" fillId="0" borderId="0" xfId="0" applyFont="1" applyFill="1" applyAlignment="1">
      <alignment horizontal="left" vertical="center" wrapText="1"/>
    </xf>
    <xf numFmtId="0" fontId="105" fillId="0" borderId="0" xfId="0" applyFont="1" applyFill="1" applyAlignment="1">
      <alignment horizontal="center" vertical="center" wrapText="1"/>
    </xf>
    <xf numFmtId="0" fontId="6" fillId="0" borderId="28" xfId="0" applyFont="1" applyFill="1" applyBorder="1" applyAlignment="1">
      <alignment horizontal="center" vertical="center" wrapText="1"/>
    </xf>
    <xf numFmtId="0" fontId="47" fillId="0" borderId="0" xfId="0" applyFont="1" applyFill="1" applyBorder="1" applyAlignment="1">
      <alignment horizontal="center" vertical="center" wrapText="1"/>
    </xf>
    <xf numFmtId="0" fontId="117" fillId="0" borderId="82" xfId="0" applyFont="1" applyFill="1" applyBorder="1" applyAlignment="1">
      <alignment horizontal="center" vertical="center"/>
    </xf>
    <xf numFmtId="0" fontId="117" fillId="0" borderId="102" xfId="0" applyFont="1" applyFill="1" applyBorder="1" applyAlignment="1">
      <alignment horizontal="center" vertical="center" wrapText="1"/>
    </xf>
    <xf numFmtId="0" fontId="125" fillId="0" borderId="103" xfId="0" applyFont="1" applyFill="1" applyBorder="1" applyAlignment="1">
      <alignment horizontal="center" vertical="center" wrapText="1"/>
    </xf>
    <xf numFmtId="0" fontId="117" fillId="0" borderId="104" xfId="0" applyFont="1" applyFill="1" applyBorder="1" applyAlignment="1">
      <alignment horizontal="center" vertical="center" wrapText="1"/>
    </xf>
    <xf numFmtId="0" fontId="117" fillId="0" borderId="82" xfId="0" applyFont="1" applyFill="1" applyBorder="1" applyAlignment="1">
      <alignment horizontal="center" vertical="center" wrapText="1"/>
    </xf>
    <xf numFmtId="0" fontId="117" fillId="0" borderId="97" xfId="0" applyFont="1" applyFill="1" applyBorder="1" applyAlignment="1">
      <alignment horizontal="center" vertical="center" wrapText="1"/>
    </xf>
    <xf numFmtId="0" fontId="117" fillId="0" borderId="94" xfId="0" applyFont="1" applyFill="1" applyBorder="1" applyAlignment="1">
      <alignment horizontal="center" vertical="center" wrapText="1"/>
    </xf>
    <xf numFmtId="0" fontId="136" fillId="0" borderId="94" xfId="0" applyFont="1" applyFill="1" applyBorder="1" applyAlignment="1">
      <alignment horizontal="center" vertical="center" wrapText="1"/>
    </xf>
    <xf numFmtId="0" fontId="117" fillId="0" borderId="99" xfId="0" applyFont="1" applyFill="1" applyBorder="1" applyAlignment="1">
      <alignment horizontal="center" vertical="center" wrapText="1"/>
    </xf>
    <xf numFmtId="0" fontId="117" fillId="0" borderId="0" xfId="0" applyFont="1" applyFill="1" applyBorder="1" applyAlignment="1">
      <alignment horizontal="center" vertical="center" wrapText="1"/>
    </xf>
    <xf numFmtId="0" fontId="136" fillId="0" borderId="0" xfId="0" applyFont="1" applyFill="1" applyBorder="1" applyAlignment="1">
      <alignment horizontal="center" vertical="center" wrapText="1"/>
    </xf>
    <xf numFmtId="0" fontId="117" fillId="0" borderId="0" xfId="0" applyFont="1" applyFill="1" applyBorder="1" applyAlignment="1">
      <alignment horizontal="left" vertical="center" wrapText="1"/>
    </xf>
    <xf numFmtId="0" fontId="4" fillId="29" borderId="40" xfId="0" applyFont="1" applyFill="1" applyBorder="1" applyAlignment="1">
      <alignment horizontal="center" vertical="center" wrapText="1"/>
    </xf>
    <xf numFmtId="0" fontId="65" fillId="4" borderId="106" xfId="0" applyFont="1" applyFill="1" applyBorder="1" applyAlignment="1">
      <alignment horizontal="center" vertical="center" wrapText="1" readingOrder="1"/>
    </xf>
    <xf numFmtId="0" fontId="65" fillId="2" borderId="106" xfId="0" applyFont="1" applyFill="1" applyBorder="1" applyAlignment="1">
      <alignment horizontal="center" vertical="center" wrapText="1" readingOrder="1"/>
    </xf>
    <xf numFmtId="0" fontId="65" fillId="5" borderId="106" xfId="0" applyFont="1" applyFill="1" applyBorder="1" applyAlignment="1">
      <alignment horizontal="center" vertical="center" wrapText="1" readingOrder="1"/>
    </xf>
    <xf numFmtId="0" fontId="65" fillId="6" borderId="106" xfId="0" applyFont="1" applyFill="1" applyBorder="1" applyAlignment="1">
      <alignment horizontal="center" vertical="center" wrapText="1" readingOrder="1"/>
    </xf>
    <xf numFmtId="0" fontId="65" fillId="3" borderId="107" xfId="0" applyFont="1" applyFill="1" applyBorder="1" applyAlignment="1">
      <alignment horizontal="center" vertical="center" wrapText="1" readingOrder="1"/>
    </xf>
    <xf numFmtId="0" fontId="2" fillId="0" borderId="0" xfId="0" applyFont="1" applyAlignment="1">
      <alignment horizontal="center" wrapText="1"/>
    </xf>
    <xf numFmtId="0" fontId="2" fillId="0" borderId="0" xfId="0" applyFont="1" applyAlignment="1">
      <alignment wrapText="1"/>
    </xf>
    <xf numFmtId="0" fontId="126" fillId="0" borderId="0" xfId="0" applyFont="1" applyAlignment="1">
      <alignment wrapText="1"/>
    </xf>
    <xf numFmtId="0" fontId="21" fillId="80" borderId="0" xfId="0" applyFont="1" applyFill="1" applyAlignment="1">
      <alignment horizontal="center" vertical="center" wrapText="1"/>
    </xf>
    <xf numFmtId="0" fontId="105" fillId="20" borderId="0" xfId="0" applyFont="1" applyFill="1" applyAlignment="1">
      <alignment vertical="center" wrapText="1"/>
    </xf>
    <xf numFmtId="0" fontId="21" fillId="90" borderId="81" xfId="0" applyFont="1" applyFill="1" applyBorder="1" applyAlignment="1">
      <alignment horizontal="center" vertical="center" wrapText="1"/>
    </xf>
    <xf numFmtId="0" fontId="21" fillId="90" borderId="78" xfId="0" applyFont="1" applyFill="1" applyBorder="1" applyAlignment="1">
      <alignment horizontal="center" vertical="center" wrapText="1"/>
    </xf>
    <xf numFmtId="0" fontId="21" fillId="90" borderId="79" xfId="0" applyFont="1" applyFill="1" applyBorder="1" applyAlignment="1">
      <alignment horizontal="center" vertical="center" wrapText="1"/>
    </xf>
    <xf numFmtId="0" fontId="21" fillId="80" borderId="77" xfId="0" applyFont="1" applyFill="1" applyBorder="1" applyAlignment="1">
      <alignment horizontal="center" vertical="center" wrapText="1"/>
    </xf>
    <xf numFmtId="0" fontId="21" fillId="90" borderId="77" xfId="0" applyFont="1" applyFill="1" applyBorder="1" applyAlignment="1">
      <alignment horizontal="center" vertical="center" wrapText="1"/>
    </xf>
    <xf numFmtId="0" fontId="21" fillId="90" borderId="0" xfId="0" applyFont="1" applyFill="1" applyAlignment="1">
      <alignment horizontal="center" vertical="center" wrapText="1"/>
    </xf>
    <xf numFmtId="0" fontId="21" fillId="90" borderId="80" xfId="0" applyFont="1" applyFill="1" applyBorder="1" applyAlignment="1">
      <alignment horizontal="center" vertical="center" wrapText="1"/>
    </xf>
    <xf numFmtId="0" fontId="21" fillId="80" borderId="80" xfId="0" applyFont="1" applyFill="1" applyBorder="1" applyAlignment="1">
      <alignment vertical="center" wrapText="1"/>
    </xf>
    <xf numFmtId="0" fontId="81" fillId="4" borderId="108" xfId="0" applyFont="1" applyFill="1" applyBorder="1" applyAlignment="1">
      <alignment horizontal="center" vertical="center" wrapText="1"/>
    </xf>
    <xf numFmtId="0" fontId="81" fillId="2" borderId="108" xfId="0" applyFont="1" applyFill="1" applyBorder="1" applyAlignment="1">
      <alignment horizontal="center" vertical="center" wrapText="1"/>
    </xf>
    <xf numFmtId="0" fontId="81" fillId="5" borderId="108" xfId="0" applyFont="1" applyFill="1" applyBorder="1" applyAlignment="1">
      <alignment horizontal="center" vertical="center" wrapText="1"/>
    </xf>
    <xf numFmtId="0" fontId="81" fillId="6" borderId="108" xfId="0" applyFont="1" applyFill="1" applyBorder="1" applyAlignment="1">
      <alignment horizontal="center" vertical="center" wrapText="1"/>
    </xf>
    <xf numFmtId="0" fontId="81" fillId="3" borderId="109" xfId="0" applyFont="1" applyFill="1" applyBorder="1" applyAlignment="1">
      <alignment horizontal="center" vertical="center" wrapText="1"/>
    </xf>
    <xf numFmtId="0" fontId="4" fillId="0" borderId="112" xfId="0" applyFont="1" applyBorder="1" applyAlignment="1">
      <alignment horizontal="center" vertical="center" wrapText="1"/>
    </xf>
    <xf numFmtId="0" fontId="5" fillId="0" borderId="112" xfId="0" applyFont="1" applyBorder="1" applyAlignment="1">
      <alignment horizontal="center" vertical="center" wrapText="1"/>
    </xf>
    <xf numFmtId="0" fontId="65" fillId="4" borderId="115" xfId="0" applyFont="1" applyFill="1" applyBorder="1" applyAlignment="1">
      <alignment horizontal="center" vertical="center" wrapText="1" readingOrder="1"/>
    </xf>
    <xf numFmtId="0" fontId="65" fillId="2" borderId="115" xfId="0" applyFont="1" applyFill="1" applyBorder="1" applyAlignment="1">
      <alignment horizontal="center" vertical="center" wrapText="1" readingOrder="1"/>
    </xf>
    <xf numFmtId="0" fontId="65" fillId="5" borderId="115" xfId="0" applyFont="1" applyFill="1" applyBorder="1" applyAlignment="1">
      <alignment horizontal="center" vertical="center" wrapText="1" readingOrder="1"/>
    </xf>
    <xf numFmtId="0" fontId="65" fillId="6" borderId="115" xfId="0" applyFont="1" applyFill="1" applyBorder="1" applyAlignment="1">
      <alignment horizontal="center" vertical="center" wrapText="1" readingOrder="1"/>
    </xf>
    <xf numFmtId="0" fontId="65" fillId="3" borderId="116" xfId="0" applyFont="1" applyFill="1" applyBorder="1" applyAlignment="1">
      <alignment horizontal="center" vertical="center" wrapText="1" readingOrder="1"/>
    </xf>
    <xf numFmtId="0" fontId="7" fillId="0" borderId="0" xfId="0" applyFont="1" applyFill="1" applyAlignment="1">
      <alignment wrapText="1"/>
    </xf>
    <xf numFmtId="0" fontId="137" fillId="0" borderId="20" xfId="0" applyFont="1" applyBorder="1" applyAlignment="1">
      <alignment horizontal="center" vertical="center" wrapText="1" readingOrder="1"/>
    </xf>
    <xf numFmtId="0" fontId="137" fillId="0" borderId="0" xfId="0" applyFont="1" applyAlignment="1">
      <alignment horizontal="center" vertical="center" wrapText="1" readingOrder="1"/>
    </xf>
    <xf numFmtId="0" fontId="138" fillId="0" borderId="13" xfId="0" applyFont="1" applyBorder="1" applyAlignment="1">
      <alignment horizontal="center" vertical="center" wrapText="1"/>
    </xf>
    <xf numFmtId="0" fontId="28" fillId="36" borderId="20" xfId="0" applyFont="1" applyFill="1" applyBorder="1" applyAlignment="1">
      <alignment horizontal="center" vertical="center" wrapText="1" readingOrder="1"/>
    </xf>
    <xf numFmtId="0" fontId="77" fillId="0" borderId="31" xfId="0" applyFont="1" applyFill="1" applyBorder="1" applyAlignment="1">
      <alignment horizontal="center" vertical="center"/>
    </xf>
    <xf numFmtId="0" fontId="77" fillId="0" borderId="31" xfId="0" applyFont="1" applyFill="1" applyBorder="1" applyAlignment="1">
      <alignment horizontal="center" vertical="center" wrapText="1"/>
    </xf>
    <xf numFmtId="0" fontId="14" fillId="0" borderId="31" xfId="0" applyFont="1" applyFill="1" applyBorder="1" applyAlignment="1">
      <alignment horizontal="center" vertical="center" wrapText="1"/>
    </xf>
    <xf numFmtId="0" fontId="2" fillId="0" borderId="31" xfId="0" applyFont="1" applyFill="1" applyBorder="1" applyAlignment="1">
      <alignment horizontal="center" vertical="center"/>
    </xf>
    <xf numFmtId="0" fontId="2" fillId="0" borderId="31" xfId="0" applyFont="1" applyFill="1" applyBorder="1" applyAlignment="1">
      <alignment horizontal="center" vertical="center" wrapText="1"/>
    </xf>
    <xf numFmtId="0" fontId="131" fillId="0" borderId="31" xfId="0" applyFont="1" applyFill="1" applyBorder="1" applyAlignment="1">
      <alignment horizontal="center" vertical="center" wrapText="1"/>
    </xf>
    <xf numFmtId="0" fontId="2" fillId="77" borderId="31" xfId="0" applyFont="1" applyFill="1" applyBorder="1" applyAlignment="1">
      <alignment horizontal="center" vertical="center" wrapText="1"/>
    </xf>
    <xf numFmtId="0" fontId="2" fillId="0" borderId="31" xfId="0" applyFont="1" applyBorder="1" applyAlignment="1">
      <alignment horizontal="center" vertical="center" wrapText="1"/>
    </xf>
    <xf numFmtId="0" fontId="77" fillId="0" borderId="31" xfId="0" applyFont="1" applyBorder="1" applyAlignment="1">
      <alignment horizontal="center" vertical="center" wrapText="1"/>
    </xf>
    <xf numFmtId="0" fontId="131" fillId="77" borderId="31" xfId="0" applyFont="1" applyFill="1" applyBorder="1" applyAlignment="1">
      <alignment horizontal="center" vertical="center" wrapText="1"/>
    </xf>
    <xf numFmtId="0" fontId="139" fillId="23" borderId="5" xfId="0" applyFont="1" applyFill="1" applyBorder="1" applyAlignment="1">
      <alignment horizontal="left" vertical="center" wrapText="1"/>
    </xf>
    <xf numFmtId="0" fontId="139" fillId="19" borderId="5" xfId="0" applyFont="1" applyFill="1" applyBorder="1" applyAlignment="1">
      <alignment horizontal="left" vertical="center" wrapText="1"/>
    </xf>
    <xf numFmtId="0" fontId="139" fillId="32" borderId="5" xfId="0" applyFont="1" applyFill="1" applyBorder="1" applyAlignment="1">
      <alignment horizontal="left" vertical="center" wrapText="1"/>
    </xf>
    <xf numFmtId="0" fontId="139" fillId="78" borderId="11" xfId="0" applyFont="1" applyFill="1" applyBorder="1" applyAlignment="1">
      <alignment horizontal="left" vertical="center" wrapText="1"/>
    </xf>
    <xf numFmtId="9" fontId="139" fillId="24" borderId="2" xfId="1" applyFont="1" applyFill="1" applyBorder="1" applyAlignment="1">
      <alignment horizontal="center" vertical="center" wrapText="1"/>
    </xf>
    <xf numFmtId="0" fontId="5" fillId="77" borderId="40" xfId="0" applyFont="1" applyFill="1" applyBorder="1" applyAlignment="1">
      <alignment vertical="center"/>
    </xf>
    <xf numFmtId="0" fontId="5" fillId="0" borderId="40" xfId="0" applyFont="1" applyBorder="1" applyAlignment="1">
      <alignment horizontal="center" vertical="center"/>
    </xf>
    <xf numFmtId="0" fontId="21" fillId="80" borderId="0" xfId="0" applyFont="1" applyFill="1" applyAlignment="1">
      <alignment horizontal="center" vertical="center"/>
    </xf>
    <xf numFmtId="0" fontId="21" fillId="90" borderId="81" xfId="0" applyFont="1" applyFill="1" applyBorder="1" applyAlignment="1">
      <alignment horizontal="center" vertical="center"/>
    </xf>
    <xf numFmtId="0" fontId="21" fillId="80" borderId="77" xfId="0" applyFont="1" applyFill="1" applyBorder="1" applyAlignment="1">
      <alignment horizontal="center" vertical="center"/>
    </xf>
    <xf numFmtId="0" fontId="21" fillId="90" borderId="77" xfId="0" applyFont="1" applyFill="1" applyBorder="1" applyAlignment="1">
      <alignment horizontal="center" vertical="center"/>
    </xf>
    <xf numFmtId="0" fontId="26" fillId="0" borderId="0" xfId="0" applyFont="1" applyAlignment="1">
      <alignment vertical="center" wrapText="1"/>
    </xf>
    <xf numFmtId="0" fontId="26" fillId="0" borderId="0" xfId="0" applyFont="1" applyAlignment="1">
      <alignment wrapText="1"/>
    </xf>
    <xf numFmtId="0" fontId="139" fillId="23" borderId="5" xfId="0" applyFont="1" applyFill="1" applyBorder="1" applyAlignment="1">
      <alignment horizontal="center" vertical="center" wrapText="1"/>
    </xf>
    <xf numFmtId="0" fontId="139" fillId="19" borderId="5" xfId="0" applyFont="1" applyFill="1" applyBorder="1" applyAlignment="1">
      <alignment horizontal="center" vertical="center" wrapText="1"/>
    </xf>
    <xf numFmtId="0" fontId="139" fillId="32" borderId="5" xfId="0" applyFont="1" applyFill="1" applyBorder="1" applyAlignment="1">
      <alignment horizontal="center" vertical="center" wrapText="1"/>
    </xf>
    <xf numFmtId="0" fontId="139" fillId="78" borderId="11" xfId="0" applyFont="1" applyFill="1" applyBorder="1" applyAlignment="1">
      <alignment horizontal="center" vertical="center" wrapText="1"/>
    </xf>
    <xf numFmtId="0" fontId="95" fillId="80" borderId="0" xfId="0" applyFont="1" applyFill="1" applyAlignment="1">
      <alignment horizontal="center" vertical="center" wrapText="1"/>
    </xf>
    <xf numFmtId="0" fontId="95" fillId="45" borderId="58" xfId="0" applyFont="1" applyFill="1" applyBorder="1" applyAlignment="1">
      <alignment horizontal="center" vertical="center" wrapText="1"/>
    </xf>
    <xf numFmtId="0" fontId="95" fillId="46" borderId="58" xfId="0" applyFont="1" applyFill="1" applyBorder="1" applyAlignment="1">
      <alignment horizontal="center" vertical="center" wrapText="1"/>
    </xf>
    <xf numFmtId="0" fontId="95" fillId="47" borderId="58" xfId="0" applyFont="1" applyFill="1" applyBorder="1" applyAlignment="1">
      <alignment horizontal="center" vertical="center" wrapText="1"/>
    </xf>
    <xf numFmtId="0" fontId="102" fillId="48" borderId="58" xfId="0" applyFont="1" applyFill="1" applyBorder="1" applyAlignment="1">
      <alignment horizontal="center" vertical="center" wrapText="1"/>
    </xf>
    <xf numFmtId="0" fontId="102" fillId="49" borderId="58" xfId="0" applyFont="1" applyFill="1" applyBorder="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wrapText="1"/>
    </xf>
    <xf numFmtId="0" fontId="11" fillId="81" borderId="50" xfId="0" applyFont="1" applyFill="1" applyBorder="1" applyAlignment="1">
      <alignment vertical="center" wrapText="1"/>
    </xf>
    <xf numFmtId="0" fontId="11" fillId="0" borderId="51" xfId="0" applyFont="1" applyBorder="1" applyAlignment="1">
      <alignment horizontal="center" vertical="center" wrapText="1"/>
    </xf>
    <xf numFmtId="9" fontId="11" fillId="0" borderId="51" xfId="0" applyNumberFormat="1" applyFont="1" applyBorder="1" applyAlignment="1">
      <alignment horizontal="center" vertical="center" wrapText="1"/>
    </xf>
    <xf numFmtId="0" fontId="11" fillId="19" borderId="51" xfId="0" applyFont="1" applyFill="1" applyBorder="1" applyAlignment="1">
      <alignment horizontal="center" vertical="center" wrapText="1"/>
    </xf>
    <xf numFmtId="0" fontId="11" fillId="19" borderId="52" xfId="0" applyFont="1" applyFill="1" applyBorder="1" applyAlignment="1">
      <alignment horizontal="center" vertical="center" wrapText="1"/>
    </xf>
    <xf numFmtId="0" fontId="11" fillId="0" borderId="0" xfId="0" applyFont="1" applyBorder="1" applyAlignment="1">
      <alignment horizontal="center" vertical="center" wrapText="1"/>
    </xf>
    <xf numFmtId="9" fontId="11" fillId="0" borderId="0" xfId="0" applyNumberFormat="1" applyFont="1" applyBorder="1" applyAlignment="1">
      <alignment horizontal="center" vertical="center" wrapText="1"/>
    </xf>
    <xf numFmtId="0" fontId="11" fillId="0" borderId="0" xfId="0" applyFont="1" applyBorder="1" applyAlignment="1">
      <alignment wrapText="1"/>
    </xf>
    <xf numFmtId="0" fontId="11" fillId="19" borderId="0" xfId="0" applyFont="1" applyFill="1" applyBorder="1" applyAlignment="1">
      <alignment wrapText="1"/>
    </xf>
    <xf numFmtId="0" fontId="11" fillId="19" borderId="54" xfId="0" applyFont="1" applyFill="1" applyBorder="1" applyAlignment="1">
      <alignment wrapText="1"/>
    </xf>
    <xf numFmtId="0" fontId="11" fillId="0" borderId="0" xfId="0" applyFont="1" applyBorder="1" applyAlignment="1">
      <alignment vertical="top" wrapText="1"/>
    </xf>
    <xf numFmtId="0" fontId="11" fillId="0" borderId="59" xfId="0" applyFont="1" applyBorder="1" applyAlignment="1">
      <alignment wrapText="1"/>
    </xf>
    <xf numFmtId="0" fontId="11" fillId="81" borderId="55" xfId="0" applyFont="1" applyFill="1" applyBorder="1" applyAlignment="1">
      <alignment vertical="center" wrapText="1"/>
    </xf>
    <xf numFmtId="0" fontId="11" fillId="0" borderId="56" xfId="0" applyFont="1" applyBorder="1" applyAlignment="1">
      <alignment horizontal="center" vertical="center" wrapText="1"/>
    </xf>
    <xf numFmtId="0" fontId="11" fillId="0" borderId="56" xfId="0" applyFont="1" applyBorder="1" applyAlignment="1">
      <alignment wrapText="1"/>
    </xf>
    <xf numFmtId="0" fontId="11" fillId="19" borderId="56" xfId="0" applyFont="1" applyFill="1" applyBorder="1" applyAlignment="1">
      <alignment wrapText="1"/>
    </xf>
    <xf numFmtId="0" fontId="11" fillId="19" borderId="57" xfId="0" applyFont="1" applyFill="1" applyBorder="1" applyAlignment="1">
      <alignment wrapText="1"/>
    </xf>
    <xf numFmtId="9" fontId="11" fillId="0" borderId="0" xfId="1" applyFont="1" applyAlignment="1">
      <alignment horizontal="center" vertical="center" wrapText="1"/>
    </xf>
    <xf numFmtId="0" fontId="105" fillId="20" borderId="0" xfId="0" applyFont="1" applyFill="1" applyAlignment="1">
      <alignment vertical="center"/>
    </xf>
    <xf numFmtId="0" fontId="3" fillId="74" borderId="40" xfId="0" applyFont="1" applyFill="1" applyBorder="1" applyAlignment="1">
      <alignment horizontal="center" vertical="center"/>
    </xf>
    <xf numFmtId="0" fontId="21" fillId="90" borderId="79" xfId="0" applyFont="1" applyFill="1" applyBorder="1" applyAlignment="1">
      <alignment horizontal="center" vertical="center"/>
    </xf>
    <xf numFmtId="0" fontId="21" fillId="90" borderId="0" xfId="0" applyFont="1" applyFill="1" applyAlignment="1">
      <alignment horizontal="center" vertical="center"/>
    </xf>
    <xf numFmtId="0" fontId="105" fillId="19" borderId="5" xfId="0" applyFont="1" applyFill="1" applyBorder="1" applyAlignment="1">
      <alignment horizontal="center" vertical="center" wrapText="1"/>
    </xf>
    <xf numFmtId="0" fontId="105" fillId="4" borderId="2" xfId="0" applyFont="1" applyFill="1" applyBorder="1" applyAlignment="1">
      <alignment horizontal="center" vertical="center" wrapText="1"/>
    </xf>
    <xf numFmtId="0" fontId="0" fillId="0" borderId="0" xfId="0" applyAlignment="1">
      <alignment wrapText="1"/>
    </xf>
    <xf numFmtId="0" fontId="106" fillId="78" borderId="11" xfId="0" applyFont="1" applyFill="1" applyBorder="1" applyAlignment="1">
      <alignment horizontal="center" vertical="center" wrapText="1"/>
    </xf>
    <xf numFmtId="0" fontId="105" fillId="0" borderId="0" xfId="0" applyFont="1" applyAlignment="1">
      <alignment horizontal="left" vertical="center" wrapText="1"/>
    </xf>
    <xf numFmtId="0" fontId="4" fillId="77" borderId="110" xfId="0" applyFont="1" applyFill="1" applyBorder="1" applyAlignment="1">
      <alignment horizontal="center" vertical="center" wrapText="1"/>
    </xf>
    <xf numFmtId="0" fontId="9" fillId="85" borderId="29" xfId="0" applyFont="1" applyFill="1" applyBorder="1" applyAlignment="1">
      <alignment horizontal="center" vertical="center" wrapText="1"/>
    </xf>
    <xf numFmtId="0" fontId="2" fillId="77" borderId="82" xfId="0" applyFont="1" applyFill="1" applyBorder="1" applyAlignment="1">
      <alignment horizontal="center" vertical="center" wrapText="1"/>
    </xf>
    <xf numFmtId="0" fontId="2" fillId="77" borderId="93" xfId="0" applyFont="1" applyFill="1" applyBorder="1" applyAlignment="1">
      <alignment horizontal="center" vertical="center" wrapText="1"/>
    </xf>
    <xf numFmtId="0" fontId="2" fillId="77" borderId="96" xfId="0" applyFont="1" applyFill="1" applyBorder="1" applyAlignment="1">
      <alignment horizontal="center" vertical="center" wrapText="1"/>
    </xf>
    <xf numFmtId="0" fontId="2" fillId="77" borderId="97" xfId="0" applyFont="1" applyFill="1" applyBorder="1" applyAlignment="1">
      <alignment horizontal="center" vertical="center" wrapText="1"/>
    </xf>
    <xf numFmtId="0" fontId="2" fillId="77" borderId="94" xfId="0" applyFont="1" applyFill="1" applyBorder="1" applyAlignment="1">
      <alignment horizontal="center" vertical="center" wrapText="1"/>
    </xf>
    <xf numFmtId="0" fontId="2" fillId="0" borderId="94" xfId="0" applyFont="1" applyBorder="1" applyAlignment="1">
      <alignment horizontal="center" vertical="center" wrapText="1"/>
    </xf>
    <xf numFmtId="0" fontId="2" fillId="77" borderId="99" xfId="0" applyFont="1" applyFill="1" applyBorder="1" applyAlignment="1">
      <alignment horizontal="center" vertical="center" wrapText="1"/>
    </xf>
    <xf numFmtId="0" fontId="4" fillId="74" borderId="92" xfId="0" applyFont="1" applyFill="1" applyBorder="1" applyAlignment="1">
      <alignment horizontal="center" vertical="center" wrapText="1"/>
    </xf>
    <xf numFmtId="0" fontId="4" fillId="74" borderId="82" xfId="0" applyFont="1" applyFill="1" applyBorder="1" applyAlignment="1">
      <alignment horizontal="center" vertical="center" wrapText="1"/>
    </xf>
    <xf numFmtId="0" fontId="4" fillId="0" borderId="0" xfId="0" applyFont="1" applyBorder="1" applyAlignment="1">
      <alignment horizontal="center" vertical="center" wrapText="1"/>
    </xf>
    <xf numFmtId="0" fontId="5" fillId="0" borderId="0" xfId="0" applyFont="1" applyBorder="1" applyAlignment="1">
      <alignment horizontal="center" vertical="center" wrapText="1"/>
    </xf>
    <xf numFmtId="0" fontId="4" fillId="2" borderId="0" xfId="0" applyFont="1" applyFill="1" applyBorder="1" applyAlignment="1">
      <alignment horizontal="center" vertical="center" wrapText="1"/>
    </xf>
    <xf numFmtId="0" fontId="8" fillId="0" borderId="0" xfId="0" applyFont="1" applyBorder="1" applyAlignment="1">
      <alignment horizontal="center" vertical="center" wrapText="1"/>
    </xf>
    <xf numFmtId="0" fontId="4" fillId="77"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105" fillId="0" borderId="0" xfId="0" applyFont="1" applyFill="1" applyBorder="1" applyAlignment="1">
      <alignment horizontal="center" vertical="center"/>
    </xf>
    <xf numFmtId="0" fontId="2" fillId="77" borderId="0" xfId="0" applyFont="1" applyFill="1" applyBorder="1" applyAlignment="1">
      <alignment horizontal="center" vertical="center" wrapText="1"/>
    </xf>
    <xf numFmtId="0" fontId="4" fillId="74" borderId="0" xfId="0" applyFont="1" applyFill="1" applyBorder="1" applyAlignment="1">
      <alignment horizontal="center" vertical="center" wrapText="1"/>
    </xf>
    <xf numFmtId="0" fontId="4" fillId="0" borderId="101" xfId="0" applyFont="1" applyFill="1" applyBorder="1" applyAlignment="1">
      <alignment horizontal="center" vertical="center" wrapText="1"/>
    </xf>
    <xf numFmtId="0" fontId="105" fillId="0" borderId="0" xfId="0" applyFont="1" applyAlignment="1">
      <alignment horizontal="center" vertical="center"/>
    </xf>
    <xf numFmtId="0" fontId="105" fillId="77" borderId="31" xfId="0" applyFont="1" applyFill="1" applyBorder="1" applyAlignment="1">
      <alignment horizontal="center" vertical="center"/>
    </xf>
    <xf numFmtId="0" fontId="119" fillId="77" borderId="31" xfId="0" applyFont="1" applyFill="1" applyBorder="1" applyAlignment="1">
      <alignment horizontal="center" vertical="center"/>
    </xf>
    <xf numFmtId="0" fontId="4" fillId="42" borderId="0" xfId="0" applyFont="1" applyFill="1" applyAlignment="1">
      <alignment horizontal="center" vertical="center"/>
    </xf>
    <xf numFmtId="0" fontId="4" fillId="2" borderId="0" xfId="0" applyFont="1" applyFill="1" applyAlignment="1">
      <alignment horizontal="center" vertical="center" wrapText="1"/>
    </xf>
    <xf numFmtId="0" fontId="4" fillId="3" borderId="0" xfId="0" applyFont="1" applyFill="1" applyAlignment="1">
      <alignment horizontal="center" vertical="center" wrapText="1"/>
    </xf>
    <xf numFmtId="0" fontId="4" fillId="42" borderId="0" xfId="0" applyFont="1" applyFill="1" applyAlignment="1">
      <alignment horizontal="center" vertical="center" wrapText="1"/>
    </xf>
    <xf numFmtId="0" fontId="105" fillId="0" borderId="0" xfId="0" applyFont="1" applyFill="1" applyBorder="1" applyAlignment="1">
      <alignment horizontal="center" vertical="center" wrapText="1"/>
    </xf>
    <xf numFmtId="0" fontId="2" fillId="0" borderId="0" xfId="0" applyFont="1" applyBorder="1" applyAlignment="1">
      <alignment horizontal="center" vertical="center" wrapText="1"/>
    </xf>
    <xf numFmtId="0" fontId="24" fillId="8" borderId="31" xfId="0" applyFont="1" applyFill="1" applyBorder="1" applyAlignment="1">
      <alignment horizontal="center" vertical="center" wrapText="1"/>
    </xf>
    <xf numFmtId="0" fontId="22" fillId="76" borderId="31" xfId="0" applyFont="1" applyFill="1" applyBorder="1" applyAlignment="1">
      <alignment horizontal="center" vertical="center"/>
    </xf>
    <xf numFmtId="0" fontId="104" fillId="63" borderId="31" xfId="0" applyFont="1" applyFill="1" applyBorder="1" applyAlignment="1">
      <alignment horizontal="center" vertical="center"/>
    </xf>
    <xf numFmtId="0" fontId="104" fillId="64" borderId="31" xfId="0" applyFont="1" applyFill="1" applyBorder="1" applyAlignment="1">
      <alignment horizontal="center" vertical="center"/>
    </xf>
    <xf numFmtId="0" fontId="104" fillId="65" borderId="31" xfId="0" applyFont="1" applyFill="1" applyBorder="1" applyAlignment="1">
      <alignment horizontal="center" vertical="center"/>
    </xf>
    <xf numFmtId="0" fontId="118" fillId="66" borderId="31" xfId="0" applyFont="1" applyFill="1" applyBorder="1" applyAlignment="1">
      <alignment horizontal="center" vertical="center"/>
    </xf>
    <xf numFmtId="0" fontId="118" fillId="67" borderId="31" xfId="0" applyFont="1" applyFill="1" applyBorder="1" applyAlignment="1">
      <alignment horizontal="center" vertical="center"/>
    </xf>
    <xf numFmtId="0" fontId="89" fillId="0" borderId="31" xfId="0" applyFont="1" applyBorder="1" applyAlignment="1">
      <alignment horizontal="center" vertical="center" wrapText="1"/>
    </xf>
    <xf numFmtId="0" fontId="90" fillId="77" borderId="31" xfId="0" applyFont="1" applyFill="1" applyBorder="1" applyAlignment="1">
      <alignment horizontal="center" vertical="center" wrapText="1"/>
    </xf>
    <xf numFmtId="0" fontId="16" fillId="0" borderId="111" xfId="0" applyFont="1" applyBorder="1" applyAlignment="1">
      <alignment horizontal="center" vertical="center" wrapText="1" readingOrder="1"/>
    </xf>
    <xf numFmtId="0" fontId="20" fillId="0" borderId="113" xfId="0" applyFont="1" applyBorder="1" applyAlignment="1">
      <alignment horizontal="center" vertical="center" wrapText="1"/>
    </xf>
    <xf numFmtId="0" fontId="4" fillId="0" borderId="0" xfId="0" applyFont="1" applyBorder="1" applyAlignment="1">
      <alignment horizontal="center" vertical="center" wrapText="1" readingOrder="1"/>
    </xf>
    <xf numFmtId="0" fontId="16" fillId="0" borderId="20" xfId="0" applyFont="1" applyBorder="1" applyAlignment="1">
      <alignment horizontal="center" vertical="center" wrapText="1" readingOrder="1"/>
    </xf>
    <xf numFmtId="0" fontId="8" fillId="0" borderId="20" xfId="0" applyFont="1" applyBorder="1" applyAlignment="1">
      <alignment horizontal="center" vertical="center" wrapText="1" readingOrder="1"/>
    </xf>
    <xf numFmtId="0" fontId="123" fillId="0" borderId="20" xfId="0" applyFont="1" applyBorder="1" applyAlignment="1">
      <alignment horizontal="center" vertical="center" wrapText="1" readingOrder="1"/>
    </xf>
    <xf numFmtId="0" fontId="141" fillId="0" borderId="20" xfId="0" applyFont="1" applyBorder="1" applyAlignment="1">
      <alignment horizontal="center" vertical="center" wrapText="1" readingOrder="1"/>
    </xf>
    <xf numFmtId="0" fontId="16" fillId="0" borderId="0" xfId="0" applyFont="1" applyAlignment="1">
      <alignment horizontal="center" vertical="center" wrapText="1" readingOrder="1"/>
    </xf>
    <xf numFmtId="0" fontId="8" fillId="0" borderId="0" xfId="0" applyFont="1" applyBorder="1" applyAlignment="1">
      <alignment horizontal="center" vertical="center" wrapText="1" readingOrder="1"/>
    </xf>
    <xf numFmtId="0" fontId="8" fillId="0" borderId="0" xfId="0" applyFont="1" applyAlignment="1">
      <alignment horizontal="center" vertical="center" wrapText="1" readingOrder="1"/>
    </xf>
    <xf numFmtId="0" fontId="123" fillId="0" borderId="0" xfId="0" applyFont="1" applyAlignment="1">
      <alignment horizontal="center" vertical="center" wrapText="1" readingOrder="1"/>
    </xf>
    <xf numFmtId="0" fontId="20" fillId="0" borderId="0" xfId="0" applyFont="1" applyAlignment="1">
      <alignment horizontal="center" vertical="center" wrapText="1"/>
    </xf>
    <xf numFmtId="0" fontId="16" fillId="0" borderId="13" xfId="0" applyFont="1" applyBorder="1" applyAlignment="1">
      <alignment horizontal="center" vertical="center" wrapText="1" readingOrder="1"/>
    </xf>
    <xf numFmtId="0" fontId="8" fillId="0" borderId="13" xfId="0" applyFont="1" applyBorder="1" applyAlignment="1">
      <alignment horizontal="center" vertical="center" wrapText="1" readingOrder="1"/>
    </xf>
    <xf numFmtId="0" fontId="123" fillId="0" borderId="13" xfId="0" applyFont="1" applyBorder="1" applyAlignment="1">
      <alignment horizontal="center" vertical="center" wrapText="1" readingOrder="1"/>
    </xf>
    <xf numFmtId="0" fontId="20" fillId="0" borderId="13" xfId="0" applyFont="1" applyBorder="1" applyAlignment="1">
      <alignment horizontal="center" vertical="center" wrapText="1"/>
    </xf>
    <xf numFmtId="0" fontId="8" fillId="0" borderId="23" xfId="0" applyFont="1" applyBorder="1" applyAlignment="1">
      <alignment horizontal="center" vertical="center" wrapText="1" readingOrder="1"/>
    </xf>
    <xf numFmtId="0" fontId="8" fillId="0" borderId="25" xfId="0" applyFont="1" applyBorder="1" applyAlignment="1">
      <alignment horizontal="center" vertical="center" wrapText="1" readingOrder="1"/>
    </xf>
    <xf numFmtId="0" fontId="8" fillId="0" borderId="114" xfId="0" applyFont="1" applyBorder="1" applyAlignment="1">
      <alignment horizontal="center" vertical="center" wrapText="1" readingOrder="1"/>
    </xf>
    <xf numFmtId="0" fontId="20" fillId="0" borderId="25" xfId="0" applyFont="1" applyBorder="1" applyAlignment="1">
      <alignment horizontal="center" vertical="center" wrapText="1"/>
    </xf>
    <xf numFmtId="0" fontId="4" fillId="0" borderId="95" xfId="0" applyFont="1" applyFill="1" applyBorder="1" applyAlignment="1">
      <alignment horizontal="center" vertical="center" wrapText="1"/>
    </xf>
    <xf numFmtId="0" fontId="77" fillId="0" borderId="31" xfId="0" applyFont="1" applyFill="1" applyBorder="1" applyAlignment="1">
      <alignment horizontal="center" vertical="center"/>
    </xf>
    <xf numFmtId="0" fontId="77" fillId="0" borderId="31" xfId="0" applyFont="1" applyFill="1" applyBorder="1" applyAlignment="1">
      <alignment horizontal="center" vertical="center" wrapText="1"/>
    </xf>
    <xf numFmtId="0" fontId="131" fillId="0" borderId="31" xfId="0" applyFont="1" applyFill="1" applyBorder="1" applyAlignment="1">
      <alignment horizontal="center" vertical="center" wrapText="1"/>
    </xf>
    <xf numFmtId="0" fontId="2" fillId="0" borderId="31" xfId="0" applyFont="1" applyFill="1" applyBorder="1" applyAlignment="1">
      <alignment horizontal="center" vertical="center" wrapText="1"/>
    </xf>
    <xf numFmtId="0" fontId="14" fillId="0" borderId="31" xfId="0" applyFont="1" applyFill="1" applyBorder="1" applyAlignment="1">
      <alignment horizontal="center" vertical="center" wrapText="1"/>
    </xf>
    <xf numFmtId="0" fontId="2" fillId="0" borderId="43" xfId="0" applyFont="1" applyBorder="1" applyAlignment="1">
      <alignment horizontal="center" vertical="center" wrapText="1"/>
    </xf>
    <xf numFmtId="0" fontId="2" fillId="0" borderId="120" xfId="0" applyFont="1" applyBorder="1" applyAlignment="1">
      <alignment horizontal="center" vertical="center" wrapText="1"/>
    </xf>
    <xf numFmtId="0" fontId="2" fillId="0" borderId="121" xfId="0" applyFont="1" applyBorder="1" applyAlignment="1">
      <alignment horizontal="center" vertical="center" wrapText="1"/>
    </xf>
    <xf numFmtId="0" fontId="14" fillId="77" borderId="43" xfId="0" applyFont="1" applyFill="1" applyBorder="1" applyAlignment="1">
      <alignment horizontal="center" vertical="center" wrapText="1"/>
    </xf>
    <xf numFmtId="0" fontId="14" fillId="77" borderId="120" xfId="0" applyFont="1" applyFill="1" applyBorder="1" applyAlignment="1">
      <alignment horizontal="center" vertical="center" wrapText="1"/>
    </xf>
    <xf numFmtId="0" fontId="14" fillId="77" borderId="121" xfId="0" applyFont="1" applyFill="1" applyBorder="1" applyAlignment="1">
      <alignment horizontal="center" vertical="center" wrapText="1"/>
    </xf>
    <xf numFmtId="0" fontId="2" fillId="0" borderId="31" xfId="0" applyFont="1" applyFill="1" applyBorder="1" applyAlignment="1">
      <alignment horizontal="center" vertical="center"/>
    </xf>
    <xf numFmtId="0" fontId="105" fillId="77" borderId="31" xfId="0" applyFont="1" applyFill="1" applyBorder="1" applyAlignment="1">
      <alignment horizontal="center" vertical="center"/>
    </xf>
    <xf numFmtId="0" fontId="77" fillId="0" borderId="31" xfId="0" applyFont="1" applyBorder="1" applyAlignment="1">
      <alignment horizontal="center" vertical="center" wrapText="1"/>
    </xf>
    <xf numFmtId="0" fontId="131" fillId="77" borderId="31" xfId="0" applyFont="1" applyFill="1" applyBorder="1" applyAlignment="1">
      <alignment horizontal="center" vertical="center" wrapText="1"/>
    </xf>
    <xf numFmtId="0" fontId="119" fillId="77" borderId="31" xfId="0" applyFont="1" applyFill="1" applyBorder="1" applyAlignment="1">
      <alignment horizontal="center" vertical="center"/>
    </xf>
    <xf numFmtId="0" fontId="28" fillId="35" borderId="22" xfId="0" applyFont="1" applyFill="1" applyBorder="1" applyAlignment="1">
      <alignment horizontal="center" vertical="center" wrapText="1" readingOrder="1"/>
    </xf>
    <xf numFmtId="0" fontId="28" fillId="35" borderId="19" xfId="0" applyFont="1" applyFill="1" applyBorder="1" applyAlignment="1">
      <alignment horizontal="center" vertical="center" wrapText="1" readingOrder="1"/>
    </xf>
    <xf numFmtId="0" fontId="79" fillId="36" borderId="20" xfId="0" applyFont="1" applyFill="1" applyBorder="1" applyAlignment="1">
      <alignment horizontal="center" vertical="center" wrapText="1" readingOrder="1"/>
    </xf>
    <xf numFmtId="0" fontId="79" fillId="36" borderId="21" xfId="0" applyFont="1" applyFill="1" applyBorder="1" applyAlignment="1">
      <alignment horizontal="center" vertical="center" wrapText="1" readingOrder="1"/>
    </xf>
    <xf numFmtId="0" fontId="79" fillId="36" borderId="13" xfId="0" applyFont="1" applyFill="1" applyBorder="1" applyAlignment="1">
      <alignment horizontal="center" vertical="center" wrapText="1" readingOrder="1"/>
    </xf>
    <xf numFmtId="0" fontId="79" fillId="36" borderId="14" xfId="0" applyFont="1" applyFill="1" applyBorder="1" applyAlignment="1">
      <alignment horizontal="center" vertical="center" wrapText="1" readingOrder="1"/>
    </xf>
    <xf numFmtId="0" fontId="28" fillId="37" borderId="18" xfId="0" applyFont="1" applyFill="1" applyBorder="1" applyAlignment="1">
      <alignment horizontal="center" vertical="center" wrapText="1" readingOrder="1"/>
    </xf>
    <xf numFmtId="0" fontId="28" fillId="37" borderId="22" xfId="0" applyFont="1" applyFill="1" applyBorder="1" applyAlignment="1">
      <alignment horizontal="center" vertical="center" wrapText="1" readingOrder="1"/>
    </xf>
    <xf numFmtId="0" fontId="28" fillId="37" borderId="19" xfId="0" applyFont="1" applyFill="1" applyBorder="1" applyAlignment="1">
      <alignment horizontal="center" vertical="center" wrapText="1" readingOrder="1"/>
    </xf>
    <xf numFmtId="0" fontId="28" fillId="39" borderId="18" xfId="0" applyFont="1" applyFill="1" applyBorder="1" applyAlignment="1">
      <alignment horizontal="center" vertical="center" wrapText="1" readingOrder="1"/>
    </xf>
    <xf numFmtId="0" fontId="28" fillId="39" borderId="19" xfId="0" applyFont="1" applyFill="1" applyBorder="1" applyAlignment="1">
      <alignment horizontal="center" vertical="center" wrapText="1" readingOrder="1"/>
    </xf>
    <xf numFmtId="0" fontId="28" fillId="40" borderId="18" xfId="0" applyFont="1" applyFill="1" applyBorder="1" applyAlignment="1">
      <alignment horizontal="center" vertical="center" wrapText="1" readingOrder="1"/>
    </xf>
    <xf numFmtId="0" fontId="28" fillId="40" borderId="22" xfId="0" applyFont="1" applyFill="1" applyBorder="1" applyAlignment="1">
      <alignment horizontal="center" vertical="center" wrapText="1" readingOrder="1"/>
    </xf>
    <xf numFmtId="0" fontId="28" fillId="41" borderId="22" xfId="0" applyFont="1" applyFill="1" applyBorder="1" applyAlignment="1">
      <alignment horizontal="center" vertical="center" wrapText="1" readingOrder="1"/>
    </xf>
    <xf numFmtId="0" fontId="16" fillId="0" borderId="20" xfId="0" applyFont="1" applyBorder="1" applyAlignment="1">
      <alignment horizontal="center" vertical="center" wrapText="1" readingOrder="1"/>
    </xf>
    <xf numFmtId="0" fontId="16" fillId="0" borderId="0" xfId="0" applyFont="1" applyBorder="1" applyAlignment="1">
      <alignment horizontal="center" vertical="center" wrapText="1" readingOrder="1"/>
    </xf>
    <xf numFmtId="0" fontId="28" fillId="36" borderId="18" xfId="0" applyFont="1" applyFill="1" applyBorder="1" applyAlignment="1">
      <alignment horizontal="center" vertical="center" wrapText="1" readingOrder="1"/>
    </xf>
    <xf numFmtId="0" fontId="28" fillId="36" borderId="19" xfId="0" applyFont="1" applyFill="1" applyBorder="1" applyAlignment="1">
      <alignment horizontal="center" vertical="center" wrapText="1" readingOrder="1"/>
    </xf>
    <xf numFmtId="0" fontId="28" fillId="36" borderId="20" xfId="0" applyFont="1" applyFill="1" applyBorder="1" applyAlignment="1">
      <alignment horizontal="center" vertical="center" wrapText="1" readingOrder="1"/>
    </xf>
    <xf numFmtId="0" fontId="28" fillId="36" borderId="13" xfId="0" applyFont="1" applyFill="1" applyBorder="1" applyAlignment="1">
      <alignment horizontal="center" vertical="center" wrapText="1" readingOrder="1"/>
    </xf>
    <xf numFmtId="0" fontId="16" fillId="0" borderId="51" xfId="0" applyFont="1" applyBorder="1" applyAlignment="1">
      <alignment horizontal="center" vertical="center" wrapText="1" readingOrder="1"/>
    </xf>
    <xf numFmtId="0" fontId="16" fillId="43" borderId="0" xfId="0" applyFont="1" applyFill="1" applyBorder="1" applyAlignment="1">
      <alignment horizontal="center" vertical="center" wrapText="1" readingOrder="1"/>
    </xf>
    <xf numFmtId="0" fontId="28" fillId="36" borderId="0" xfId="0" applyFont="1" applyFill="1" applyBorder="1" applyAlignment="1">
      <alignment horizontal="center" vertical="center" wrapText="1" readingOrder="1"/>
    </xf>
    <xf numFmtId="0" fontId="2" fillId="0" borderId="44" xfId="0" applyFont="1" applyBorder="1" applyAlignment="1">
      <alignment horizontal="center" vertical="center" wrapText="1"/>
    </xf>
    <xf numFmtId="0" fontId="2" fillId="0" borderId="48" xfId="0" applyFont="1" applyBorder="1" applyAlignment="1">
      <alignment horizontal="center" vertical="center" wrapText="1"/>
    </xf>
    <xf numFmtId="0" fontId="2" fillId="0" borderId="45" xfId="0" applyFont="1" applyBorder="1" applyAlignment="1">
      <alignment horizontal="center" vertical="center" wrapText="1"/>
    </xf>
    <xf numFmtId="0" fontId="0" fillId="0" borderId="44" xfId="0" applyBorder="1" applyAlignment="1">
      <alignment horizontal="center" vertical="center" wrapText="1"/>
    </xf>
    <xf numFmtId="0" fontId="0" fillId="0" borderId="45" xfId="0" applyBorder="1" applyAlignment="1">
      <alignment horizontal="center" vertical="center" wrapText="1"/>
    </xf>
    <xf numFmtId="0" fontId="3" fillId="91" borderId="105" xfId="0" applyFont="1" applyFill="1" applyBorder="1" applyAlignment="1">
      <alignment horizontal="center" vertical="center" wrapText="1"/>
    </xf>
    <xf numFmtId="0" fontId="6" fillId="91" borderId="119" xfId="0" applyFont="1" applyFill="1" applyBorder="1" applyAlignment="1">
      <alignment horizontal="center" vertical="center" wrapText="1"/>
    </xf>
    <xf numFmtId="0" fontId="105" fillId="0" borderId="0" xfId="0" applyFont="1" applyAlignment="1">
      <alignment horizontal="left" vertical="center" wrapText="1"/>
    </xf>
    <xf numFmtId="0" fontId="6" fillId="87" borderId="88" xfId="0" applyFont="1" applyFill="1" applyBorder="1" applyAlignment="1">
      <alignment horizontal="center" vertical="center" wrapText="1"/>
    </xf>
    <xf numFmtId="0" fontId="6" fillId="87" borderId="89" xfId="0" applyFont="1" applyFill="1" applyBorder="1" applyAlignment="1">
      <alignment horizontal="center" vertical="center" wrapText="1"/>
    </xf>
    <xf numFmtId="0" fontId="6" fillId="71" borderId="86" xfId="0" applyFont="1" applyFill="1" applyBorder="1" applyAlignment="1">
      <alignment horizontal="center" vertical="center" wrapText="1"/>
    </xf>
    <xf numFmtId="0" fontId="6" fillId="71" borderId="90" xfId="0" applyFont="1" applyFill="1" applyBorder="1" applyAlignment="1">
      <alignment horizontal="center" vertical="center" wrapText="1"/>
    </xf>
    <xf numFmtId="0" fontId="6" fillId="71" borderId="87" xfId="0" applyFont="1" applyFill="1" applyBorder="1" applyAlignment="1">
      <alignment horizontal="center" vertical="center" wrapText="1"/>
    </xf>
    <xf numFmtId="0" fontId="6" fillId="91" borderId="117" xfId="0" applyFont="1" applyFill="1" applyBorder="1" applyAlignment="1">
      <alignment horizontal="center" vertical="center" wrapText="1"/>
    </xf>
    <xf numFmtId="0" fontId="6" fillId="91" borderId="0" xfId="0" applyFont="1" applyFill="1" applyBorder="1" applyAlignment="1">
      <alignment horizontal="center" vertical="center" wrapText="1"/>
    </xf>
    <xf numFmtId="0" fontId="6" fillId="91" borderId="118" xfId="0" applyFont="1" applyFill="1" applyBorder="1" applyAlignment="1">
      <alignment horizontal="center" vertical="center" wrapText="1"/>
    </xf>
    <xf numFmtId="0" fontId="21" fillId="0" borderId="50" xfId="0" applyFont="1" applyBorder="1" applyAlignment="1">
      <alignment horizontal="left" wrapText="1"/>
    </xf>
    <xf numFmtId="0" fontId="21" fillId="0" borderId="51" xfId="0" applyFont="1" applyBorder="1" applyAlignment="1">
      <alignment horizontal="left" wrapText="1"/>
    </xf>
    <xf numFmtId="0" fontId="24" fillId="91" borderId="0" xfId="0" applyFont="1" applyFill="1" applyAlignment="1">
      <alignment horizontal="center" vertical="center" wrapText="1"/>
    </xf>
    <xf numFmtId="0" fontId="24" fillId="71" borderId="86" xfId="0" applyFont="1" applyFill="1" applyBorder="1" applyAlignment="1">
      <alignment horizontal="center" vertical="center" wrapText="1"/>
    </xf>
    <xf numFmtId="0" fontId="24" fillId="71" borderId="90" xfId="0" applyFont="1" applyFill="1" applyBorder="1" applyAlignment="1">
      <alignment horizontal="center" vertical="center" wrapText="1"/>
    </xf>
    <xf numFmtId="0" fontId="24" fillId="87" borderId="88" xfId="0" applyFont="1" applyFill="1" applyBorder="1" applyAlignment="1">
      <alignment horizontal="center" vertical="center" wrapText="1"/>
    </xf>
    <xf numFmtId="0" fontId="24" fillId="87" borderId="89" xfId="0" applyFont="1" applyFill="1" applyBorder="1" applyAlignment="1">
      <alignment horizontal="center" vertical="center" wrapText="1"/>
    </xf>
    <xf numFmtId="0" fontId="24" fillId="88" borderId="88" xfId="0" applyFont="1" applyFill="1" applyBorder="1" applyAlignment="1">
      <alignment horizontal="center" vertical="center"/>
    </xf>
    <xf numFmtId="0" fontId="24" fillId="88" borderId="91" xfId="0" applyFont="1" applyFill="1" applyBorder="1" applyAlignment="1">
      <alignment horizontal="center" vertical="center"/>
    </xf>
    <xf numFmtId="0" fontId="24" fillId="73" borderId="83" xfId="0" applyFont="1" applyFill="1" applyBorder="1" applyAlignment="1">
      <alignment horizontal="center" vertical="center"/>
    </xf>
    <xf numFmtId="0" fontId="24" fillId="73" borderId="84" xfId="0" applyFont="1" applyFill="1" applyBorder="1" applyAlignment="1">
      <alignment horizontal="center" vertical="center"/>
    </xf>
    <xf numFmtId="0" fontId="24" fillId="73" borderId="85" xfId="0" applyFont="1" applyFill="1" applyBorder="1" applyAlignment="1">
      <alignment horizontal="center" vertical="center"/>
    </xf>
    <xf numFmtId="9" fontId="11" fillId="0" borderId="0" xfId="0" applyNumberFormat="1" applyFont="1" applyBorder="1" applyAlignment="1">
      <alignment horizontal="center" vertical="center" wrapText="1"/>
    </xf>
    <xf numFmtId="9" fontId="11" fillId="0" borderId="56" xfId="0" applyNumberFormat="1" applyFont="1" applyBorder="1" applyAlignment="1">
      <alignment horizontal="center" vertical="center" wrapText="1"/>
    </xf>
    <xf numFmtId="0" fontId="11" fillId="0" borderId="0" xfId="0" applyFont="1" applyBorder="1" applyAlignment="1">
      <alignment horizontal="center" vertical="center" wrapText="1"/>
    </xf>
    <xf numFmtId="0" fontId="11" fillId="0" borderId="56" xfId="0" applyFont="1" applyBorder="1" applyAlignment="1">
      <alignment horizontal="center" vertical="center" wrapText="1"/>
    </xf>
    <xf numFmtId="0" fontId="95" fillId="82" borderId="0" xfId="0" applyFont="1" applyFill="1" applyAlignment="1">
      <alignment horizontal="center" vertical="center"/>
    </xf>
    <xf numFmtId="0" fontId="95" fillId="15" borderId="60" xfId="0" applyFont="1" applyFill="1" applyBorder="1" applyAlignment="1">
      <alignment horizontal="center" vertical="center"/>
    </xf>
    <xf numFmtId="0" fontId="0" fillId="83" borderId="31" xfId="0" applyFill="1" applyBorder="1" applyAlignment="1">
      <alignment horizontal="center"/>
    </xf>
    <xf numFmtId="0" fontId="11" fillId="0" borderId="64" xfId="0" applyFont="1" applyBorder="1" applyAlignment="1">
      <alignment horizontal="center" vertical="center" wrapText="1"/>
    </xf>
    <xf numFmtId="0" fontId="11" fillId="0" borderId="31" xfId="0" applyFont="1" applyBorder="1" applyAlignment="1">
      <alignment horizontal="center" vertical="center" wrapText="1"/>
    </xf>
    <xf numFmtId="0" fontId="11" fillId="0" borderId="61" xfId="0" applyFont="1" applyBorder="1" applyAlignment="1">
      <alignment horizontal="center" vertical="center" wrapText="1"/>
    </xf>
    <xf numFmtId="0" fontId="95" fillId="83" borderId="31" xfId="0" applyFont="1" applyFill="1" applyBorder="1" applyAlignment="1">
      <alignment horizontal="center"/>
    </xf>
    <xf numFmtId="0" fontId="103" fillId="24" borderId="31" xfId="0" applyFont="1" applyFill="1" applyBorder="1" applyAlignment="1">
      <alignment horizontal="center" wrapText="1"/>
    </xf>
    <xf numFmtId="0" fontId="103" fillId="61" borderId="31" xfId="0" applyFont="1" applyFill="1" applyBorder="1" applyAlignment="1">
      <alignment horizontal="center" wrapText="1"/>
    </xf>
    <xf numFmtId="0" fontId="103" fillId="24" borderId="61" xfId="0" applyFont="1" applyFill="1" applyBorder="1" applyAlignment="1">
      <alignment horizontal="center" wrapText="1"/>
    </xf>
    <xf numFmtId="0" fontId="103" fillId="61" borderId="62" xfId="0" applyFont="1" applyFill="1" applyBorder="1" applyAlignment="1">
      <alignment horizontal="center"/>
    </xf>
    <xf numFmtId="0" fontId="103" fillId="61" borderId="63" xfId="0" applyFont="1" applyFill="1" applyBorder="1" applyAlignment="1">
      <alignment horizontal="center"/>
    </xf>
    <xf numFmtId="0" fontId="103" fillId="61" borderId="67" xfId="0" applyFont="1" applyFill="1" applyBorder="1" applyAlignment="1">
      <alignment horizontal="center"/>
    </xf>
    <xf numFmtId="0" fontId="109" fillId="0" borderId="0" xfId="0" applyFont="1" applyAlignment="1">
      <alignment horizontal="left"/>
    </xf>
    <xf numFmtId="0" fontId="24" fillId="32" borderId="10" xfId="0" applyFont="1" applyFill="1" applyBorder="1" applyAlignment="1">
      <alignment horizontal="center" vertical="center" wrapText="1"/>
    </xf>
    <xf numFmtId="0" fontId="24" fillId="32" borderId="5" xfId="0" applyFont="1" applyFill="1" applyBorder="1" applyAlignment="1">
      <alignment horizontal="center" vertical="center" wrapText="1"/>
    </xf>
    <xf numFmtId="0" fontId="24" fillId="32" borderId="11" xfId="0" applyFont="1" applyFill="1" applyBorder="1" applyAlignment="1">
      <alignment horizontal="center" vertical="center" wrapText="1"/>
    </xf>
    <xf numFmtId="0" fontId="83" fillId="11" borderId="49" xfId="0" applyFont="1" applyFill="1" applyBorder="1" applyAlignment="1">
      <alignment horizontal="center" vertical="center"/>
    </xf>
    <xf numFmtId="0" fontId="5" fillId="24" borderId="49" xfId="0" applyFont="1" applyFill="1" applyBorder="1" applyAlignment="1">
      <alignment horizontal="center" vertical="center" wrapText="1"/>
    </xf>
    <xf numFmtId="0" fontId="4" fillId="24" borderId="49" xfId="0" applyFont="1" applyFill="1" applyBorder="1" applyAlignment="1">
      <alignment horizontal="center" vertical="center" wrapText="1"/>
    </xf>
    <xf numFmtId="0" fontId="5" fillId="2" borderId="49" xfId="0" applyFont="1" applyFill="1" applyBorder="1" applyAlignment="1">
      <alignment horizontal="center" vertical="center" wrapText="1"/>
    </xf>
    <xf numFmtId="0" fontId="5" fillId="23" borderId="49" xfId="0" applyFont="1" applyFill="1" applyBorder="1" applyAlignment="1">
      <alignment horizontal="center" vertical="center" wrapText="1"/>
    </xf>
    <xf numFmtId="0" fontId="4" fillId="23" borderId="49" xfId="0" applyFont="1" applyFill="1" applyBorder="1" applyAlignment="1">
      <alignment horizontal="center" vertical="center" wrapText="1"/>
    </xf>
    <xf numFmtId="0" fontId="5" fillId="5" borderId="49" xfId="0" applyFont="1" applyFill="1" applyBorder="1" applyAlignment="1">
      <alignment horizontal="center" vertical="center" wrapText="1"/>
    </xf>
    <xf numFmtId="0" fontId="5" fillId="19" borderId="49" xfId="0" applyFont="1" applyFill="1" applyBorder="1" applyAlignment="1">
      <alignment horizontal="center" vertical="center" wrapText="1"/>
    </xf>
    <xf numFmtId="0" fontId="4" fillId="19" borderId="49" xfId="0" applyFont="1" applyFill="1" applyBorder="1" applyAlignment="1">
      <alignment horizontal="center" vertical="center" wrapText="1"/>
    </xf>
    <xf numFmtId="0" fontId="5" fillId="32" borderId="49" xfId="0" applyFont="1" applyFill="1" applyBorder="1" applyAlignment="1">
      <alignment horizontal="center" vertical="center" wrapText="1"/>
    </xf>
    <xf numFmtId="0" fontId="4" fillId="32" borderId="49" xfId="0" applyFont="1" applyFill="1" applyBorder="1" applyAlignment="1">
      <alignment horizontal="center" vertical="center" wrapText="1"/>
    </xf>
    <xf numFmtId="0" fontId="4" fillId="6" borderId="49" xfId="0" applyFont="1" applyFill="1" applyBorder="1" applyAlignment="1">
      <alignment horizontal="center" vertical="center" wrapText="1"/>
    </xf>
    <xf numFmtId="0" fontId="5" fillId="78" borderId="49" xfId="0" applyFont="1" applyFill="1" applyBorder="1" applyAlignment="1">
      <alignment horizontal="center" vertical="center" wrapText="1"/>
    </xf>
    <xf numFmtId="0" fontId="4" fillId="78" borderId="49" xfId="0" applyFont="1" applyFill="1" applyBorder="1" applyAlignment="1">
      <alignment horizontal="center" vertical="center" wrapText="1"/>
    </xf>
    <xf numFmtId="0" fontId="3" fillId="3" borderId="31" xfId="0" applyFont="1" applyFill="1" applyBorder="1" applyAlignment="1">
      <alignment horizontal="center" vertical="center" wrapText="1"/>
    </xf>
    <xf numFmtId="0" fontId="3" fillId="3" borderId="4" xfId="0" applyFont="1" applyFill="1" applyBorder="1" applyAlignment="1">
      <alignment horizontal="left" vertical="center" wrapText="1"/>
    </xf>
    <xf numFmtId="0" fontId="3" fillId="3" borderId="0" xfId="0" applyFont="1" applyFill="1" applyAlignment="1">
      <alignment horizontal="left" vertical="center" wrapText="1"/>
    </xf>
    <xf numFmtId="0" fontId="3" fillId="5" borderId="31" xfId="0" applyFont="1" applyFill="1" applyBorder="1" applyAlignment="1">
      <alignment horizontal="center" vertical="center" wrapText="1"/>
    </xf>
    <xf numFmtId="0" fontId="3" fillId="5" borderId="4" xfId="0" applyFont="1" applyFill="1" applyBorder="1" applyAlignment="1">
      <alignment horizontal="left" vertical="center" wrapText="1"/>
    </xf>
    <xf numFmtId="0" fontId="3" fillId="5" borderId="0" xfId="0" applyFont="1" applyFill="1" applyAlignment="1">
      <alignment horizontal="left" vertical="center" wrapText="1"/>
    </xf>
    <xf numFmtId="0" fontId="3" fillId="6" borderId="31" xfId="0" applyFont="1" applyFill="1" applyBorder="1" applyAlignment="1">
      <alignment horizontal="center" vertical="center" wrapText="1"/>
    </xf>
    <xf numFmtId="0" fontId="3" fillId="6" borderId="4" xfId="0" applyFont="1" applyFill="1" applyBorder="1" applyAlignment="1">
      <alignment horizontal="left" vertical="center" wrapText="1"/>
    </xf>
    <xf numFmtId="0" fontId="3" fillId="6" borderId="0" xfId="0" applyFont="1" applyFill="1" applyAlignment="1">
      <alignment horizontal="left" vertical="center" wrapText="1"/>
    </xf>
    <xf numFmtId="0" fontId="3" fillId="2" borderId="31"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3" fillId="2" borderId="0" xfId="0" applyFont="1" applyFill="1" applyAlignment="1">
      <alignment horizontal="left" vertical="center" wrapText="1"/>
    </xf>
    <xf numFmtId="0" fontId="33" fillId="0" borderId="0" xfId="0" applyFont="1" applyAlignment="1">
      <alignment horizontal="center" vertical="center" wrapText="1"/>
    </xf>
    <xf numFmtId="0" fontId="6" fillId="31" borderId="0" xfId="0" applyFont="1" applyFill="1" applyAlignment="1">
      <alignment horizontal="center" vertical="center" wrapText="1"/>
    </xf>
    <xf numFmtId="0" fontId="6" fillId="9" borderId="4" xfId="0" applyFont="1" applyFill="1" applyBorder="1" applyAlignment="1">
      <alignment horizontal="left" vertical="center" wrapText="1"/>
    </xf>
    <xf numFmtId="0" fontId="6" fillId="9" borderId="0" xfId="0" applyFont="1" applyFill="1" applyAlignment="1">
      <alignment horizontal="left" vertical="center" wrapText="1"/>
    </xf>
    <xf numFmtId="0" fontId="37" fillId="4" borderId="31" xfId="0" applyFont="1" applyFill="1" applyBorder="1" applyAlignment="1">
      <alignment horizontal="center" vertical="center" wrapText="1"/>
    </xf>
    <xf numFmtId="0" fontId="37" fillId="4" borderId="4" xfId="0" applyFont="1" applyFill="1" applyBorder="1" applyAlignment="1">
      <alignment horizontal="left" vertical="center" wrapText="1"/>
    </xf>
    <xf numFmtId="0" fontId="37" fillId="4" borderId="0" xfId="0" applyFont="1" applyFill="1" applyAlignment="1">
      <alignment horizontal="left" vertical="center" wrapText="1"/>
    </xf>
    <xf numFmtId="0" fontId="71" fillId="0" borderId="0" xfId="0" applyFont="1" applyAlignment="1">
      <alignment horizontal="left" vertical="center"/>
    </xf>
    <xf numFmtId="9" fontId="21" fillId="24" borderId="82" xfId="1" applyFont="1" applyFill="1" applyBorder="1" applyAlignment="1">
      <alignment horizontal="center" vertical="center" wrapText="1"/>
    </xf>
    <xf numFmtId="0" fontId="21" fillId="23" borderId="82" xfId="0" applyFont="1" applyFill="1" applyBorder="1" applyAlignment="1">
      <alignment horizontal="center" vertical="center" wrapText="1"/>
    </xf>
    <xf numFmtId="0" fontId="21" fillId="19" borderId="82" xfId="0" applyFont="1" applyFill="1" applyBorder="1" applyAlignment="1">
      <alignment horizontal="center" vertical="center" wrapText="1"/>
    </xf>
    <xf numFmtId="0" fontId="117" fillId="32" borderId="82" xfId="0" applyFont="1" applyFill="1" applyBorder="1" applyAlignment="1">
      <alignment horizontal="center" vertical="center" wrapText="1"/>
    </xf>
    <xf numFmtId="0" fontId="117" fillId="78" borderId="82" xfId="0" applyFont="1" applyFill="1" applyBorder="1" applyAlignment="1">
      <alignment horizontal="center" vertical="center" wrapText="1"/>
    </xf>
    <xf numFmtId="0" fontId="125" fillId="43" borderId="94" xfId="0" applyFont="1" applyFill="1" applyBorder="1" applyAlignment="1">
      <alignment horizontal="center" vertical="center" wrapText="1"/>
    </xf>
    <xf numFmtId="9" fontId="21" fillId="24" borderId="92" xfId="1" applyFont="1" applyFill="1" applyBorder="1" applyAlignment="1">
      <alignment horizontal="center" vertical="center" wrapText="1"/>
    </xf>
    <xf numFmtId="0" fontId="21" fillId="23" borderId="92" xfId="0" applyFont="1" applyFill="1" applyBorder="1" applyAlignment="1">
      <alignment horizontal="center" vertical="center" wrapText="1"/>
    </xf>
    <xf numFmtId="0" fontId="21" fillId="19" borderId="92" xfId="0" applyFont="1" applyFill="1" applyBorder="1" applyAlignment="1">
      <alignment horizontal="center" vertical="center" wrapText="1"/>
    </xf>
    <xf numFmtId="0" fontId="117" fillId="32" borderId="92" xfId="0" applyFont="1" applyFill="1" applyBorder="1" applyAlignment="1">
      <alignment horizontal="center" vertical="center" wrapText="1"/>
    </xf>
    <xf numFmtId="0" fontId="117" fillId="78" borderId="92" xfId="0" applyFont="1" applyFill="1" applyBorder="1" applyAlignment="1">
      <alignment horizontal="center" vertical="center" wrapText="1"/>
    </xf>
    <xf numFmtId="9" fontId="21" fillId="24" borderId="95" xfId="1" applyFont="1" applyFill="1" applyBorder="1" applyAlignment="1">
      <alignment horizontal="center" vertical="center" wrapText="1"/>
    </xf>
    <xf numFmtId="0" fontId="21" fillId="23" borderId="95" xfId="0" applyFont="1" applyFill="1" applyBorder="1" applyAlignment="1">
      <alignment horizontal="center" vertical="center" wrapText="1"/>
    </xf>
    <xf numFmtId="0" fontId="21" fillId="19" borderId="95" xfId="0" applyFont="1" applyFill="1" applyBorder="1" applyAlignment="1">
      <alignment horizontal="center" vertical="center" wrapText="1"/>
    </xf>
    <xf numFmtId="0" fontId="117" fillId="32" borderId="95" xfId="0" applyFont="1" applyFill="1" applyBorder="1" applyAlignment="1">
      <alignment horizontal="center" vertical="center" wrapText="1"/>
    </xf>
    <xf numFmtId="0" fontId="117" fillId="78" borderId="95" xfId="0" applyFont="1" applyFill="1" applyBorder="1" applyAlignment="1">
      <alignment horizontal="center" vertical="center" wrapText="1"/>
    </xf>
    <xf numFmtId="9" fontId="21" fillId="24" borderId="97" xfId="1" applyFont="1" applyFill="1" applyBorder="1" applyAlignment="1">
      <alignment horizontal="center" vertical="center" wrapText="1"/>
    </xf>
    <xf numFmtId="0" fontId="21" fillId="23" borderId="97" xfId="0" applyFont="1" applyFill="1" applyBorder="1" applyAlignment="1">
      <alignment horizontal="center" vertical="center" wrapText="1"/>
    </xf>
    <xf numFmtId="0" fontId="21" fillId="19" borderId="97" xfId="0" applyFont="1" applyFill="1" applyBorder="1" applyAlignment="1">
      <alignment horizontal="center" vertical="center" wrapText="1"/>
    </xf>
    <xf numFmtId="0" fontId="117" fillId="32" borderId="97" xfId="0" applyFont="1" applyFill="1" applyBorder="1" applyAlignment="1">
      <alignment horizontal="center" vertical="center" wrapText="1"/>
    </xf>
    <xf numFmtId="0" fontId="117" fillId="78" borderId="97" xfId="0" applyFont="1" applyFill="1" applyBorder="1" applyAlignment="1">
      <alignment horizontal="center" vertical="center" wrapText="1"/>
    </xf>
    <xf numFmtId="9" fontId="21" fillId="24" borderId="0" xfId="1" applyFont="1" applyFill="1" applyBorder="1" applyAlignment="1">
      <alignment horizontal="center" vertical="center" wrapText="1"/>
    </xf>
    <xf numFmtId="0" fontId="21" fillId="23" borderId="0" xfId="0" applyFont="1" applyFill="1" applyBorder="1" applyAlignment="1">
      <alignment horizontal="center" vertical="center" wrapText="1"/>
    </xf>
    <xf numFmtId="0" fontId="21" fillId="19" borderId="0" xfId="0" applyFont="1" applyFill="1" applyBorder="1" applyAlignment="1">
      <alignment horizontal="center" vertical="center" wrapText="1"/>
    </xf>
    <xf numFmtId="0" fontId="117" fillId="32" borderId="0" xfId="0" applyFont="1" applyFill="1" applyBorder="1" applyAlignment="1">
      <alignment horizontal="center" vertical="center" wrapText="1"/>
    </xf>
    <xf numFmtId="0" fontId="117" fillId="78" borderId="0" xfId="0" applyFont="1" applyFill="1" applyBorder="1" applyAlignment="1">
      <alignment horizontal="center" vertical="center" wrapText="1"/>
    </xf>
    <xf numFmtId="9" fontId="21" fillId="24" borderId="94" xfId="1" applyFont="1" applyFill="1" applyBorder="1" applyAlignment="1">
      <alignment horizontal="center" vertical="center" wrapText="1"/>
    </xf>
    <xf numFmtId="0" fontId="21" fillId="23" borderId="94" xfId="0" applyFont="1" applyFill="1" applyBorder="1" applyAlignment="1">
      <alignment horizontal="center" vertical="center" wrapText="1"/>
    </xf>
    <xf numFmtId="0" fontId="21" fillId="19" borderId="94" xfId="0" applyFont="1" applyFill="1" applyBorder="1" applyAlignment="1">
      <alignment horizontal="center" vertical="center" wrapText="1"/>
    </xf>
    <xf numFmtId="0" fontId="117" fillId="32" borderId="94" xfId="0" applyFont="1" applyFill="1" applyBorder="1" applyAlignment="1">
      <alignment horizontal="center" vertical="center" wrapText="1"/>
    </xf>
    <xf numFmtId="0" fontId="117" fillId="78" borderId="94" xfId="0" applyFont="1" applyFill="1" applyBorder="1" applyAlignment="1">
      <alignment horizontal="center" vertical="center" wrapText="1"/>
    </xf>
    <xf numFmtId="0" fontId="136" fillId="43" borderId="94" xfId="0" applyFont="1" applyFill="1" applyBorder="1" applyAlignment="1">
      <alignment horizontal="center" vertical="center" wrapText="1"/>
    </xf>
    <xf numFmtId="9" fontId="21" fillId="24" borderId="99" xfId="1" applyFont="1" applyFill="1" applyBorder="1" applyAlignment="1">
      <alignment horizontal="center" vertical="center" wrapText="1"/>
    </xf>
    <xf numFmtId="0" fontId="21" fillId="23" borderId="99" xfId="0" applyFont="1" applyFill="1" applyBorder="1" applyAlignment="1">
      <alignment horizontal="center" vertical="center" wrapText="1"/>
    </xf>
    <xf numFmtId="0" fontId="21" fillId="19" borderId="99" xfId="0" applyFont="1" applyFill="1" applyBorder="1" applyAlignment="1">
      <alignment horizontal="center" vertical="center" wrapText="1"/>
    </xf>
    <xf numFmtId="0" fontId="117" fillId="32" borderId="99" xfId="0" applyFont="1" applyFill="1" applyBorder="1" applyAlignment="1">
      <alignment horizontal="center" vertical="center" wrapText="1"/>
    </xf>
    <xf numFmtId="0" fontId="117" fillId="78" borderId="99" xfId="0" applyFont="1" applyFill="1" applyBorder="1" applyAlignment="1">
      <alignment horizontal="center" vertical="center" wrapText="1"/>
    </xf>
    <xf numFmtId="9" fontId="21" fillId="24" borderId="2" xfId="1" applyFont="1" applyFill="1" applyBorder="1" applyAlignment="1">
      <alignment horizontal="center" vertical="center" wrapText="1"/>
    </xf>
    <xf numFmtId="0" fontId="21" fillId="23" borderId="5" xfId="0" applyFont="1" applyFill="1" applyBorder="1" applyAlignment="1">
      <alignment horizontal="center" vertical="center" wrapText="1"/>
    </xf>
    <xf numFmtId="0" fontId="21" fillId="19" borderId="5" xfId="0" applyFont="1" applyFill="1" applyBorder="1" applyAlignment="1">
      <alignment horizontal="center" vertical="center" wrapText="1"/>
    </xf>
    <xf numFmtId="0" fontId="117" fillId="32" borderId="5" xfId="0" applyFont="1" applyFill="1" applyBorder="1" applyAlignment="1">
      <alignment horizontal="center" vertical="center" wrapText="1"/>
    </xf>
    <xf numFmtId="0" fontId="117" fillId="78" borderId="11" xfId="0" applyFont="1" applyFill="1" applyBorder="1" applyAlignment="1">
      <alignment horizontal="center" vertical="center" wrapText="1"/>
    </xf>
    <xf numFmtId="0" fontId="106" fillId="32" borderId="5" xfId="0" applyFont="1" applyFill="1" applyBorder="1" applyAlignment="1">
      <alignment horizontal="center" vertical="center" wrapText="1"/>
    </xf>
    <xf numFmtId="0" fontId="21" fillId="23" borderId="5" xfId="0" applyFont="1" applyFill="1" applyBorder="1" applyAlignment="1">
      <alignment horizontal="left" vertical="center" wrapText="1"/>
    </xf>
    <xf numFmtId="0" fontId="21" fillId="19" borderId="5" xfId="0" applyFont="1" applyFill="1" applyBorder="1" applyAlignment="1">
      <alignment horizontal="left" vertical="center" wrapText="1"/>
    </xf>
    <xf numFmtId="0" fontId="117" fillId="32" borderId="5" xfId="0" applyFont="1" applyFill="1" applyBorder="1" applyAlignment="1">
      <alignment horizontal="left" vertical="center" wrapText="1"/>
    </xf>
    <xf numFmtId="0" fontId="117" fillId="78" borderId="11" xfId="0" applyFont="1" applyFill="1" applyBorder="1" applyAlignment="1">
      <alignment horizontal="left" vertical="center" wrapText="1"/>
    </xf>
    <xf numFmtId="0" fontId="104" fillId="0" borderId="0" xfId="0" applyFont="1" applyAlignment="1">
      <alignment horizontal="left" vertical="center" wrapText="1"/>
    </xf>
    <xf numFmtId="0" fontId="6" fillId="73" borderId="83" xfId="0" applyFont="1" applyFill="1" applyBorder="1" applyAlignment="1">
      <alignment horizontal="center" vertical="center" wrapText="1"/>
    </xf>
    <xf numFmtId="0" fontId="6" fillId="73" borderId="84" xfId="0" applyFont="1" applyFill="1" applyBorder="1" applyAlignment="1">
      <alignment horizontal="center" vertical="center" wrapText="1"/>
    </xf>
    <xf numFmtId="0" fontId="6" fillId="73" borderId="85" xfId="0" applyFont="1" applyFill="1" applyBorder="1" applyAlignment="1">
      <alignment horizontal="center" vertical="center" wrapText="1"/>
    </xf>
    <xf numFmtId="0" fontId="105" fillId="0" borderId="0" xfId="0" applyFont="1" applyAlignment="1">
      <alignment horizontal="center" vertical="center" wrapText="1"/>
    </xf>
    <xf numFmtId="0" fontId="15" fillId="23" borderId="92" xfId="0" applyFont="1" applyFill="1" applyBorder="1" applyAlignment="1">
      <alignment horizontal="center" vertical="center" wrapText="1"/>
    </xf>
    <xf numFmtId="0" fontId="15" fillId="23" borderId="82" xfId="0" applyFont="1" applyFill="1" applyBorder="1" applyAlignment="1">
      <alignment horizontal="center" vertical="center" wrapText="1"/>
    </xf>
    <xf numFmtId="0" fontId="5" fillId="23" borderId="82" xfId="0" applyFont="1" applyFill="1" applyBorder="1" applyAlignment="1">
      <alignment horizontal="center" vertical="center" wrapText="1"/>
    </xf>
    <xf numFmtId="0" fontId="5" fillId="23" borderId="40" xfId="0" applyFont="1" applyFill="1" applyBorder="1" applyAlignment="1">
      <alignment horizontal="center" vertical="center" wrapText="1"/>
    </xf>
    <xf numFmtId="0" fontId="6" fillId="71" borderId="0" xfId="0" applyFont="1" applyFill="1" applyBorder="1" applyAlignment="1">
      <alignment horizontal="center" vertical="center" wrapText="1"/>
    </xf>
    <xf numFmtId="0" fontId="3" fillId="8" borderId="0" xfId="0" applyFont="1" applyFill="1" applyBorder="1" applyAlignment="1">
      <alignment horizontal="center" vertical="center" wrapText="1"/>
    </xf>
    <xf numFmtId="0" fontId="82" fillId="0" borderId="82" xfId="0" applyFont="1" applyFill="1" applyBorder="1" applyAlignment="1">
      <alignment horizontal="center" vertical="center"/>
    </xf>
    <xf numFmtId="0" fontId="82" fillId="0" borderId="0" xfId="0" applyFont="1" applyFill="1" applyBorder="1" applyAlignment="1">
      <alignment horizontal="center" vertical="center"/>
    </xf>
  </cellXfs>
  <cellStyles count="10">
    <cellStyle name="Bad" xfId="7" builtinId="27"/>
    <cellStyle name="Hyperlink" xfId="6" builtinId="8"/>
    <cellStyle name="Normal" xfId="0" builtinId="0"/>
    <cellStyle name="Normal 2" xfId="4" xr:uid="{00000000-0005-0000-0000-000001000000}"/>
    <cellStyle name="Normal 2 2" xfId="2" xr:uid="{00000000-0005-0000-0000-000002000000}"/>
    <cellStyle name="Normal 3" xfId="5" xr:uid="{6D3C61CE-CF1E-4B9F-B931-3845CEAC0AAE}"/>
    <cellStyle name="Normal 3 2" xfId="9" xr:uid="{BDDA8734-C1C3-4196-A27E-31BBB2CA0770}"/>
    <cellStyle name="Normal 4" xfId="8" xr:uid="{BF4893EB-F229-495C-965C-8F627E05C939}"/>
    <cellStyle name="Normal 7" xfId="3" xr:uid="{00000000-0005-0000-0000-000003000000}"/>
    <cellStyle name="Percent" xfId="1" builtinId="5"/>
  </cellStyles>
  <dxfs count="1">
    <dxf>
      <font>
        <color rgb="FF9C0006"/>
      </font>
      <fill>
        <patternFill>
          <bgColor rgb="FFFFC7CE"/>
        </patternFill>
      </fill>
    </dxf>
  </dxfs>
  <tableStyles count="0" defaultTableStyle="TableStyleMedium2" defaultPivotStyle="PivotStyleLight16"/>
  <colors>
    <mruColors>
      <color rgb="FFFF5050"/>
      <color rgb="FF800000"/>
      <color rgb="FFC00000"/>
      <color rgb="FF9999FF"/>
      <color rgb="FFCCCCFF"/>
      <color rgb="FF9966FF"/>
      <color rgb="FF9933FF"/>
      <color rgb="FFCC66FF"/>
      <color rgb="FFFF00FF"/>
      <color rgb="FFF5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Dropbox\Work\OCHA%20Iraq%20(2017-2020)\C.%20HPC\2021%20HPC\2021%20HNO\4.%20Analysis\Methodology\Analytical%20Framework\Cluster%20feedback\IRQ_2021HNO_Analysis_Framework_WASH.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Dropbox\Work\OCHA%20Iraq%20(2017-2020)\C.%20HPC\2021%20HPC\2021%20HNO\4.%20Analysis\Methodology\Analytical%20Framework\IRQ_2021HNO_Analysis-Framework%20(WORKING%20DRAFT%202020%2008%2025)_Comments%20REA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_ME"/>
      <sheetName val="1. Analytical Framework"/>
      <sheetName val="2. Intercluster_PIN_Sev"/>
      <sheetName val="3. Cluster_PIN_Sev"/>
      <sheetName val="3.1. CCCM"/>
      <sheetName val="3.2. Education"/>
      <sheetName val="3.3. ELC"/>
      <sheetName val="3.4. FSC"/>
      <sheetName val="3.5. Health"/>
      <sheetName val="3.6. Protection "/>
      <sheetName val="3.7. SNFI"/>
      <sheetName val="3.8. WASH"/>
      <sheetName val="4. REF_2021 JIAF IRT"/>
      <sheetName val="5. REF_JIAF_Severity"/>
      <sheetName val="6. REF_2020HNO_Intersector"/>
      <sheetName val="7. REF_2020HNO_Cluster-indic "/>
      <sheetName val="Dropdown"/>
      <sheetName val="8. 2019_Pool of Indicators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_ME"/>
      <sheetName val="1. Analytical Framework"/>
      <sheetName val="2. Intercluster_PIN_Sev"/>
      <sheetName val="3. Cluster_PIN_Sev"/>
      <sheetName val="3.1. CCCM"/>
      <sheetName val="3.2. Education"/>
      <sheetName val="3.3. ELC"/>
      <sheetName val="3.4. FSC"/>
      <sheetName val="3.5. Health"/>
      <sheetName val="3.6. Protection "/>
      <sheetName val="3.7. SNFI"/>
      <sheetName val="3.8. WASH"/>
      <sheetName val="4. REF_2021 JIAF IRT"/>
      <sheetName val="5. REF_JIAF_Severity"/>
      <sheetName val="6. REF_2020HNO_Intersector"/>
      <sheetName val="7. REF_2020HNO_Cluster-indic "/>
      <sheetName val="Dropdown"/>
      <sheetName val="8. 2019_Pool of Indicators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hyperlink" Target="https://docs.google.com/spreadsheets/d/14onqkx_zEAFMADo2u0SdjBLYWfE31y6HTFrovpdc_F0/edit" TargetMode="External"/></Relationships>
</file>

<file path=xl/worksheets/_rels/sheet1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pageSetUpPr fitToPage="1"/>
  </sheetPr>
  <dimension ref="A2:E35"/>
  <sheetViews>
    <sheetView zoomScale="91" zoomScaleNormal="100" workbookViewId="0">
      <selection activeCell="D14" sqref="D14"/>
    </sheetView>
  </sheetViews>
  <sheetFormatPr defaultColWidth="9.08984375" defaultRowHeight="11.5"/>
  <cols>
    <col min="1" max="1" width="4.54296875" style="334" customWidth="1"/>
    <col min="2" max="2" width="12" style="334" customWidth="1"/>
    <col min="3" max="3" width="49.453125" style="334" customWidth="1"/>
    <col min="4" max="4" width="62.90625" style="334" customWidth="1"/>
    <col min="5" max="5" width="17" style="334" customWidth="1"/>
    <col min="6" max="16384" width="9.08984375" style="334"/>
  </cols>
  <sheetData>
    <row r="2" spans="1:5">
      <c r="A2" s="335"/>
      <c r="B2" s="335" t="s">
        <v>1472</v>
      </c>
    </row>
    <row r="3" spans="1:5">
      <c r="A3" s="335"/>
      <c r="B3" s="335"/>
    </row>
    <row r="4" spans="1:5">
      <c r="A4" s="335"/>
      <c r="B4" s="333"/>
      <c r="C4" s="339" t="s">
        <v>1651</v>
      </c>
      <c r="D4" s="339" t="s">
        <v>1597</v>
      </c>
      <c r="E4" s="340" t="s">
        <v>1652</v>
      </c>
    </row>
    <row r="5" spans="1:5" ht="34.5">
      <c r="A5" s="342"/>
      <c r="B5" s="349" t="s">
        <v>1599</v>
      </c>
      <c r="C5" s="342" t="s">
        <v>1653</v>
      </c>
      <c r="D5" s="342" t="s">
        <v>1657</v>
      </c>
      <c r="E5" s="343" t="s">
        <v>1598</v>
      </c>
    </row>
    <row r="6" spans="1:5" ht="46">
      <c r="A6" s="342"/>
      <c r="B6" s="349" t="s">
        <v>1600</v>
      </c>
      <c r="C6" s="342" t="s">
        <v>1654</v>
      </c>
      <c r="D6" s="342" t="s">
        <v>1667</v>
      </c>
      <c r="E6" s="344">
        <v>44074</v>
      </c>
    </row>
    <row r="7" spans="1:5" ht="57.5">
      <c r="A7" s="342"/>
      <c r="B7" s="349" t="s">
        <v>1601</v>
      </c>
      <c r="C7" s="342" t="s">
        <v>1655</v>
      </c>
      <c r="D7" s="342" t="s">
        <v>1666</v>
      </c>
      <c r="E7" s="344">
        <v>44069</v>
      </c>
    </row>
    <row r="8" spans="1:5" ht="34.5">
      <c r="A8" s="342"/>
      <c r="B8" s="349" t="s">
        <v>1646</v>
      </c>
      <c r="C8" s="342" t="s">
        <v>1668</v>
      </c>
      <c r="D8" s="342" t="s">
        <v>1656</v>
      </c>
      <c r="E8" s="344">
        <v>44069</v>
      </c>
    </row>
    <row r="9" spans="1:5">
      <c r="A9" s="342"/>
      <c r="B9" s="349" t="s">
        <v>1602</v>
      </c>
      <c r="C9" s="342" t="s">
        <v>1647</v>
      </c>
      <c r="D9" s="342" t="s">
        <v>1606</v>
      </c>
      <c r="E9" s="343" t="s">
        <v>10</v>
      </c>
    </row>
    <row r="10" spans="1:5">
      <c r="A10" s="342"/>
      <c r="B10" s="349" t="s">
        <v>1603</v>
      </c>
      <c r="C10" s="342" t="s">
        <v>1648</v>
      </c>
      <c r="D10" s="342" t="s">
        <v>1606</v>
      </c>
      <c r="E10" s="343" t="s">
        <v>10</v>
      </c>
    </row>
    <row r="11" spans="1:5" ht="23">
      <c r="A11" s="342"/>
      <c r="B11" s="349" t="s">
        <v>1604</v>
      </c>
      <c r="C11" s="342" t="s">
        <v>1649</v>
      </c>
      <c r="D11" s="342" t="s">
        <v>1606</v>
      </c>
      <c r="E11" s="343" t="s">
        <v>10</v>
      </c>
    </row>
    <row r="12" spans="1:5">
      <c r="A12" s="342"/>
      <c r="B12" s="349" t="s">
        <v>1605</v>
      </c>
      <c r="C12" s="342" t="s">
        <v>1650</v>
      </c>
      <c r="D12" s="342" t="s">
        <v>1606</v>
      </c>
      <c r="E12" s="343" t="s">
        <v>10</v>
      </c>
    </row>
    <row r="13" spans="1:5">
      <c r="A13" s="342"/>
      <c r="B13" s="342"/>
      <c r="D13" s="342"/>
      <c r="E13" s="343"/>
    </row>
    <row r="14" spans="1:5">
      <c r="A14" s="253"/>
      <c r="E14" s="341"/>
    </row>
    <row r="15" spans="1:5">
      <c r="A15" s="253"/>
      <c r="E15" s="341"/>
    </row>
    <row r="16" spans="1:5">
      <c r="A16" s="253"/>
      <c r="E16" s="341"/>
    </row>
    <row r="17" spans="1:2">
      <c r="A17" s="336"/>
    </row>
    <row r="18" spans="1:2">
      <c r="A18" s="253"/>
    </row>
    <row r="19" spans="1:2">
      <c r="A19" s="253"/>
    </row>
    <row r="20" spans="1:2" ht="12" customHeight="1">
      <c r="A20" s="253"/>
    </row>
    <row r="21" spans="1:2">
      <c r="A21" s="253"/>
    </row>
    <row r="22" spans="1:2">
      <c r="A22" s="337"/>
    </row>
    <row r="23" spans="1:2">
      <c r="A23" s="253"/>
    </row>
    <row r="24" spans="1:2">
      <c r="A24" s="253"/>
    </row>
    <row r="25" spans="1:2">
      <c r="A25" s="253"/>
    </row>
    <row r="26" spans="1:2">
      <c r="A26" s="337"/>
      <c r="B26" s="337"/>
    </row>
    <row r="27" spans="1:2">
      <c r="A27" s="337"/>
      <c r="B27" s="338"/>
    </row>
    <row r="28" spans="1:2">
      <c r="A28" s="253"/>
    </row>
    <row r="29" spans="1:2">
      <c r="A29" s="253"/>
    </row>
    <row r="31" spans="1:2">
      <c r="A31" s="337" t="s">
        <v>790</v>
      </c>
    </row>
    <row r="32" spans="1:2">
      <c r="A32" s="253"/>
    </row>
    <row r="34" spans="1:1">
      <c r="A34" s="337"/>
    </row>
    <row r="35" spans="1:1">
      <c r="A35" s="253"/>
    </row>
  </sheetData>
  <pageMargins left="0.7" right="0.7" top="0.75" bottom="0.75" header="0.3" footer="0.3"/>
  <pageSetup scale="43"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sheetPr>
  <dimension ref="A1:S79"/>
  <sheetViews>
    <sheetView topLeftCell="A33" zoomScale="72" zoomScaleNormal="85" workbookViewId="0">
      <selection activeCell="E23" sqref="E23"/>
    </sheetView>
  </sheetViews>
  <sheetFormatPr defaultColWidth="9.08984375" defaultRowHeight="14.5"/>
  <cols>
    <col min="1" max="1" width="5.36328125" style="6" customWidth="1"/>
    <col min="2" max="2" width="16.08984375" style="6" customWidth="1"/>
    <col min="3" max="3" width="20.453125" style="6" customWidth="1"/>
    <col min="4" max="4" width="14.54296875" style="6" customWidth="1"/>
    <col min="5" max="5" width="44.1796875" style="823" customWidth="1"/>
    <col min="6" max="7" width="10.6328125" style="6" customWidth="1"/>
    <col min="8" max="12" width="7.54296875" style="304" customWidth="1"/>
    <col min="13" max="13" width="66.453125" style="6" customWidth="1"/>
    <col min="14" max="16384" width="9.08984375" style="6"/>
  </cols>
  <sheetData>
    <row r="1" spans="1:13" ht="25">
      <c r="B1" s="269" t="s">
        <v>1471</v>
      </c>
      <c r="C1" s="7"/>
      <c r="D1" s="7"/>
      <c r="E1" s="7"/>
      <c r="F1" s="7"/>
      <c r="G1" s="7"/>
    </row>
    <row r="2" spans="1:13" ht="19" thickBot="1">
      <c r="B2" s="264" t="s">
        <v>1468</v>
      </c>
      <c r="C2" s="8"/>
      <c r="D2" s="759"/>
      <c r="E2" s="759"/>
      <c r="F2" s="8"/>
      <c r="G2" s="8"/>
      <c r="H2" s="305"/>
      <c r="I2" s="305"/>
      <c r="J2" s="305"/>
      <c r="K2" s="305"/>
      <c r="L2" s="305"/>
    </row>
    <row r="3" spans="1:13" s="105" customFormat="1" ht="23" thickBot="1">
      <c r="A3" s="103"/>
      <c r="B3" s="106" t="s">
        <v>803</v>
      </c>
      <c r="C3" s="106"/>
      <c r="D3" s="106"/>
      <c r="E3" s="106"/>
      <c r="F3" s="106"/>
      <c r="G3" s="107"/>
      <c r="H3" s="306" t="s">
        <v>838</v>
      </c>
      <c r="I3" s="307" t="s">
        <v>515</v>
      </c>
      <c r="J3" s="308" t="s">
        <v>513</v>
      </c>
      <c r="K3" s="309" t="s">
        <v>839</v>
      </c>
      <c r="L3" s="310" t="s">
        <v>840</v>
      </c>
      <c r="M3" s="104" t="s">
        <v>381</v>
      </c>
    </row>
    <row r="4" spans="1:13" ht="21" customHeight="1">
      <c r="A4" s="7"/>
      <c r="B4" s="918" t="s">
        <v>815</v>
      </c>
      <c r="C4" s="920" t="s">
        <v>823</v>
      </c>
      <c r="D4" s="920" t="s">
        <v>836</v>
      </c>
      <c r="E4" s="763" t="s">
        <v>845</v>
      </c>
      <c r="F4" s="920" t="s">
        <v>835</v>
      </c>
      <c r="G4" s="920" t="s">
        <v>1607</v>
      </c>
      <c r="H4" s="904" t="s">
        <v>841</v>
      </c>
      <c r="I4" s="904"/>
      <c r="J4" s="904"/>
      <c r="K4" s="904"/>
      <c r="L4" s="905"/>
      <c r="M4" s="920" t="s">
        <v>1610</v>
      </c>
    </row>
    <row r="5" spans="1:13" ht="15" customHeight="1" thickBot="1">
      <c r="A5" s="7"/>
      <c r="B5" s="919"/>
      <c r="C5" s="921"/>
      <c r="D5" s="921"/>
      <c r="E5" s="255" t="s">
        <v>2144</v>
      </c>
      <c r="F5" s="921"/>
      <c r="G5" s="921"/>
      <c r="H5" s="906"/>
      <c r="I5" s="906"/>
      <c r="J5" s="906"/>
      <c r="K5" s="906"/>
      <c r="L5" s="907"/>
      <c r="M5" s="924"/>
    </row>
    <row r="6" spans="1:13" ht="22.75" customHeight="1">
      <c r="A6" s="7"/>
      <c r="B6" s="908" t="s">
        <v>816</v>
      </c>
      <c r="C6" s="292" t="s">
        <v>824</v>
      </c>
      <c r="D6" s="297"/>
      <c r="E6" s="297"/>
      <c r="F6" s="760" t="s">
        <v>846</v>
      </c>
      <c r="G6" s="109"/>
      <c r="H6" s="311" t="s">
        <v>9</v>
      </c>
      <c r="I6" s="311" t="s">
        <v>9</v>
      </c>
      <c r="J6" s="311" t="s">
        <v>9</v>
      </c>
      <c r="K6" s="311" t="s">
        <v>9</v>
      </c>
      <c r="L6" s="311" t="s">
        <v>9</v>
      </c>
      <c r="M6" s="925" t="s">
        <v>1608</v>
      </c>
    </row>
    <row r="7" spans="1:13" ht="34.75" customHeight="1">
      <c r="A7" s="7"/>
      <c r="B7" s="909"/>
      <c r="C7" s="108" t="s">
        <v>827</v>
      </c>
      <c r="D7" s="298"/>
      <c r="E7" s="298"/>
      <c r="F7" s="298"/>
      <c r="G7" s="110"/>
      <c r="H7" s="312" t="s">
        <v>9</v>
      </c>
      <c r="I7" s="312" t="s">
        <v>9</v>
      </c>
      <c r="J7" s="312" t="s">
        <v>9</v>
      </c>
      <c r="K7" s="312" t="s">
        <v>9</v>
      </c>
      <c r="L7" s="313" t="s">
        <v>9</v>
      </c>
      <c r="M7" s="926"/>
    </row>
    <row r="8" spans="1:13" ht="22.5">
      <c r="A8" s="7"/>
      <c r="B8" s="909"/>
      <c r="C8" s="108" t="s">
        <v>828</v>
      </c>
      <c r="D8" s="298"/>
      <c r="E8" s="298"/>
      <c r="F8" s="298"/>
      <c r="G8" s="110"/>
      <c r="H8" s="312" t="s">
        <v>9</v>
      </c>
      <c r="I8" s="312" t="s">
        <v>9</v>
      </c>
      <c r="J8" s="312" t="s">
        <v>9</v>
      </c>
      <c r="K8" s="312" t="s">
        <v>9</v>
      </c>
      <c r="L8" s="313" t="s">
        <v>9</v>
      </c>
      <c r="M8" s="926"/>
    </row>
    <row r="9" spans="1:13" ht="22.5">
      <c r="A9" s="7"/>
      <c r="B9" s="909"/>
      <c r="C9" s="108" t="s">
        <v>825</v>
      </c>
      <c r="D9" s="298"/>
      <c r="E9" s="299"/>
      <c r="F9" s="298"/>
      <c r="G9" s="110"/>
      <c r="H9" s="312" t="s">
        <v>9</v>
      </c>
      <c r="I9" s="312" t="s">
        <v>9</v>
      </c>
      <c r="J9" s="312" t="s">
        <v>9</v>
      </c>
      <c r="K9" s="312" t="s">
        <v>9</v>
      </c>
      <c r="L9" s="313" t="s">
        <v>9</v>
      </c>
      <c r="M9" s="926"/>
    </row>
    <row r="10" spans="1:13" ht="22.5">
      <c r="A10" s="7"/>
      <c r="B10" s="909"/>
      <c r="C10" s="108" t="s">
        <v>829</v>
      </c>
      <c r="D10" s="298"/>
      <c r="E10" s="298"/>
      <c r="F10" s="298"/>
      <c r="G10" s="110"/>
      <c r="H10" s="312" t="s">
        <v>9</v>
      </c>
      <c r="I10" s="312" t="s">
        <v>9</v>
      </c>
      <c r="J10" s="312" t="s">
        <v>9</v>
      </c>
      <c r="K10" s="312" t="s">
        <v>9</v>
      </c>
      <c r="L10" s="313" t="s">
        <v>9</v>
      </c>
      <c r="M10" s="926"/>
    </row>
    <row r="11" spans="1:13" ht="22.5">
      <c r="A11" s="7"/>
      <c r="B11" s="909"/>
      <c r="C11" s="108" t="s">
        <v>830</v>
      </c>
      <c r="D11" s="298"/>
      <c r="E11" s="300"/>
      <c r="F11" s="298"/>
      <c r="G11" s="110"/>
      <c r="H11" s="312" t="s">
        <v>9</v>
      </c>
      <c r="I11" s="312" t="s">
        <v>9</v>
      </c>
      <c r="J11" s="312" t="s">
        <v>9</v>
      </c>
      <c r="K11" s="312" t="s">
        <v>9</v>
      </c>
      <c r="L11" s="313" t="s">
        <v>9</v>
      </c>
      <c r="M11" s="926"/>
    </row>
    <row r="12" spans="1:13" ht="22.5">
      <c r="A12" s="7"/>
      <c r="B12" s="909"/>
      <c r="C12" s="108" t="s">
        <v>826</v>
      </c>
      <c r="D12" s="298"/>
      <c r="E12" s="298"/>
      <c r="F12" s="298"/>
      <c r="G12" s="110"/>
      <c r="H12" s="312" t="s">
        <v>9</v>
      </c>
      <c r="I12" s="312" t="s">
        <v>9</v>
      </c>
      <c r="J12" s="312" t="s">
        <v>9</v>
      </c>
      <c r="K12" s="312" t="s">
        <v>9</v>
      </c>
      <c r="L12" s="313" t="s">
        <v>9</v>
      </c>
      <c r="M12" s="926"/>
    </row>
    <row r="13" spans="1:13" ht="22.75" customHeight="1">
      <c r="A13" s="7"/>
      <c r="B13" s="909"/>
      <c r="C13" s="108" t="s">
        <v>831</v>
      </c>
      <c r="D13" s="298"/>
      <c r="E13" s="300"/>
      <c r="F13" s="761" t="s">
        <v>843</v>
      </c>
      <c r="G13" s="110"/>
      <c r="H13" s="312" t="s">
        <v>9</v>
      </c>
      <c r="I13" s="312" t="s">
        <v>9</v>
      </c>
      <c r="J13" s="312" t="s">
        <v>9</v>
      </c>
      <c r="K13" s="312" t="s">
        <v>9</v>
      </c>
      <c r="L13" s="313" t="s">
        <v>9</v>
      </c>
      <c r="M13" s="926"/>
    </row>
    <row r="14" spans="1:13" ht="22.75" customHeight="1" thickBot="1">
      <c r="A14" s="7"/>
      <c r="B14" s="910"/>
      <c r="C14" s="293" t="s">
        <v>832</v>
      </c>
      <c r="D14" s="301"/>
      <c r="E14" s="302"/>
      <c r="F14" s="301"/>
      <c r="G14" s="111"/>
      <c r="H14" s="314" t="s">
        <v>9</v>
      </c>
      <c r="I14" s="314" t="s">
        <v>9</v>
      </c>
      <c r="J14" s="314" t="s">
        <v>9</v>
      </c>
      <c r="K14" s="314" t="s">
        <v>9</v>
      </c>
      <c r="L14" s="314" t="s">
        <v>9</v>
      </c>
      <c r="M14" s="926"/>
    </row>
    <row r="15" spans="1:13" ht="22.75" customHeight="1">
      <c r="A15" s="7"/>
      <c r="B15" s="911" t="s">
        <v>817</v>
      </c>
      <c r="C15" s="292" t="s">
        <v>833</v>
      </c>
      <c r="D15" s="297"/>
      <c r="E15" s="303"/>
      <c r="F15" s="760" t="s">
        <v>837</v>
      </c>
      <c r="G15" s="297"/>
      <c r="H15" s="311" t="s">
        <v>9</v>
      </c>
      <c r="I15" s="311" t="s">
        <v>9</v>
      </c>
      <c r="J15" s="311" t="s">
        <v>9</v>
      </c>
      <c r="K15" s="311" t="s">
        <v>9</v>
      </c>
      <c r="L15" s="311" t="s">
        <v>9</v>
      </c>
      <c r="M15" s="926"/>
    </row>
    <row r="16" spans="1:13" ht="24" customHeight="1" thickBot="1">
      <c r="A16" s="7"/>
      <c r="B16" s="912"/>
      <c r="C16" s="293" t="s">
        <v>834</v>
      </c>
      <c r="D16" s="301"/>
      <c r="E16" s="302"/>
      <c r="F16" s="762"/>
      <c r="G16" s="301"/>
      <c r="H16" s="314" t="s">
        <v>9</v>
      </c>
      <c r="I16" s="314" t="s">
        <v>9</v>
      </c>
      <c r="J16" s="314" t="s">
        <v>9</v>
      </c>
      <c r="K16" s="314" t="s">
        <v>9</v>
      </c>
      <c r="L16" s="314" t="s">
        <v>9</v>
      </c>
      <c r="M16" s="926"/>
    </row>
    <row r="17" spans="1:13" ht="24" customHeight="1">
      <c r="A17" s="7"/>
      <c r="B17" s="913" t="s">
        <v>818</v>
      </c>
      <c r="C17" s="868" t="s">
        <v>820</v>
      </c>
      <c r="D17" s="869"/>
      <c r="E17" s="870"/>
      <c r="F17" s="871" t="s">
        <v>842</v>
      </c>
      <c r="G17" s="869"/>
      <c r="H17" s="315" t="s">
        <v>847</v>
      </c>
      <c r="I17" s="315" t="s">
        <v>847</v>
      </c>
      <c r="J17" s="315" t="s">
        <v>847</v>
      </c>
      <c r="K17" s="315" t="s">
        <v>847</v>
      </c>
      <c r="L17" s="315" t="s">
        <v>847</v>
      </c>
      <c r="M17" s="926"/>
    </row>
    <row r="18" spans="1:13" s="823" customFormat="1" ht="24" customHeight="1">
      <c r="A18" s="7"/>
      <c r="B18" s="914"/>
      <c r="C18" s="872" t="s">
        <v>822</v>
      </c>
      <c r="D18" s="873" t="s">
        <v>410</v>
      </c>
      <c r="E18" s="510" t="s">
        <v>1806</v>
      </c>
      <c r="F18" s="867" t="s">
        <v>1367</v>
      </c>
      <c r="G18" s="873"/>
      <c r="H18" s="317"/>
      <c r="I18" s="317"/>
      <c r="J18" s="317"/>
      <c r="K18" s="317"/>
      <c r="L18" s="317"/>
      <c r="M18" s="926"/>
    </row>
    <row r="19" spans="1:13" s="823" customFormat="1" ht="24" customHeight="1">
      <c r="A19" s="7"/>
      <c r="B19" s="914"/>
      <c r="C19" s="872" t="s">
        <v>822</v>
      </c>
      <c r="D19" s="873" t="s">
        <v>410</v>
      </c>
      <c r="E19" s="510" t="s">
        <v>1812</v>
      </c>
      <c r="F19" s="867" t="s">
        <v>62</v>
      </c>
      <c r="G19" s="873"/>
      <c r="H19" s="317"/>
      <c r="I19" s="317"/>
      <c r="J19" s="317"/>
      <c r="K19" s="317"/>
      <c r="L19" s="317"/>
      <c r="M19" s="926"/>
    </row>
    <row r="20" spans="1:13" ht="22.75" customHeight="1">
      <c r="A20" s="7"/>
      <c r="B20" s="914"/>
      <c r="C20" s="872" t="s">
        <v>822</v>
      </c>
      <c r="D20" s="874"/>
      <c r="E20" s="875"/>
      <c r="F20" s="876"/>
      <c r="G20" s="876"/>
      <c r="H20" s="316" t="s">
        <v>847</v>
      </c>
      <c r="I20" s="316" t="s">
        <v>847</v>
      </c>
      <c r="J20" s="316" t="s">
        <v>847</v>
      </c>
      <c r="K20" s="316" t="s">
        <v>847</v>
      </c>
      <c r="L20" s="317" t="s">
        <v>847</v>
      </c>
      <c r="M20" s="926"/>
    </row>
    <row r="21" spans="1:13" ht="22.75" customHeight="1" thickBot="1">
      <c r="A21" s="7"/>
      <c r="B21" s="914"/>
      <c r="C21" s="877" t="s">
        <v>821</v>
      </c>
      <c r="D21" s="878"/>
      <c r="E21" s="879"/>
      <c r="F21" s="880"/>
      <c r="G21" s="878"/>
      <c r="H21" s="318" t="s">
        <v>847</v>
      </c>
      <c r="I21" s="318" t="s">
        <v>847</v>
      </c>
      <c r="J21" s="318" t="s">
        <v>847</v>
      </c>
      <c r="K21" s="318" t="s">
        <v>847</v>
      </c>
      <c r="L21" s="318" t="s">
        <v>847</v>
      </c>
      <c r="M21" s="927"/>
    </row>
    <row r="22" spans="1:13" ht="22.75" customHeight="1">
      <c r="A22" s="7"/>
      <c r="B22" s="915" t="s">
        <v>819</v>
      </c>
      <c r="C22" s="916" t="s">
        <v>848</v>
      </c>
      <c r="D22" s="497" t="s">
        <v>897</v>
      </c>
      <c r="E22" s="505" t="s">
        <v>75</v>
      </c>
      <c r="F22" s="503" t="s">
        <v>1394</v>
      </c>
      <c r="G22" s="881"/>
      <c r="H22" s="319"/>
      <c r="I22" s="320"/>
      <c r="J22" s="321"/>
      <c r="K22" s="322"/>
      <c r="L22" s="323"/>
      <c r="M22" s="926" t="s">
        <v>1609</v>
      </c>
    </row>
    <row r="23" spans="1:13" ht="22.75" customHeight="1">
      <c r="A23" s="7"/>
      <c r="B23" s="915"/>
      <c r="C23" s="917"/>
      <c r="D23" s="560" t="s">
        <v>904</v>
      </c>
      <c r="E23" s="561" t="s">
        <v>2043</v>
      </c>
      <c r="F23" s="885" t="s">
        <v>1367</v>
      </c>
      <c r="G23" s="882"/>
      <c r="H23" s="729"/>
      <c r="I23" s="730"/>
      <c r="J23" s="731"/>
      <c r="K23" s="732"/>
      <c r="L23" s="733"/>
      <c r="M23" s="926"/>
    </row>
    <row r="24" spans="1:13" ht="22.75" customHeight="1">
      <c r="A24" s="7"/>
      <c r="B24" s="915"/>
      <c r="C24" s="917"/>
      <c r="D24" s="497" t="s">
        <v>2107</v>
      </c>
      <c r="E24" s="498" t="s">
        <v>928</v>
      </c>
      <c r="F24" s="503" t="s">
        <v>1367</v>
      </c>
      <c r="G24" s="882"/>
      <c r="H24" s="729"/>
      <c r="I24" s="730"/>
      <c r="J24" s="731"/>
      <c r="K24" s="732"/>
      <c r="L24" s="733"/>
      <c r="M24" s="926"/>
    </row>
    <row r="25" spans="1:13" ht="22.75" customHeight="1">
      <c r="A25" s="7"/>
      <c r="B25" s="915"/>
      <c r="C25" s="917"/>
      <c r="D25" s="497" t="s">
        <v>2107</v>
      </c>
      <c r="E25" s="498" t="s">
        <v>934</v>
      </c>
      <c r="F25" s="503" t="s">
        <v>1394</v>
      </c>
      <c r="G25" s="882"/>
      <c r="H25" s="729"/>
      <c r="I25" s="730"/>
      <c r="J25" s="731"/>
      <c r="K25" s="732"/>
      <c r="L25" s="733"/>
      <c r="M25" s="926"/>
    </row>
    <row r="26" spans="1:13" ht="22.75" customHeight="1">
      <c r="A26" s="7"/>
      <c r="B26" s="915"/>
      <c r="C26" s="917"/>
      <c r="D26" s="497" t="s">
        <v>745</v>
      </c>
      <c r="E26" s="498" t="s">
        <v>2115</v>
      </c>
      <c r="F26" s="503" t="s">
        <v>1367</v>
      </c>
      <c r="G26" s="882"/>
      <c r="H26" s="729"/>
      <c r="I26" s="730"/>
      <c r="J26" s="731"/>
      <c r="K26" s="732"/>
      <c r="L26" s="733"/>
      <c r="M26" s="926"/>
    </row>
    <row r="27" spans="1:13" ht="22.75" customHeight="1">
      <c r="A27" s="7"/>
      <c r="B27" s="915"/>
      <c r="C27" s="917"/>
      <c r="D27" s="579" t="s">
        <v>4</v>
      </c>
      <c r="E27" s="580" t="s">
        <v>1365</v>
      </c>
      <c r="F27" s="582" t="s">
        <v>1367</v>
      </c>
      <c r="G27" s="882"/>
      <c r="H27" s="729"/>
      <c r="I27" s="730"/>
      <c r="J27" s="731"/>
      <c r="K27" s="732"/>
      <c r="L27" s="733"/>
      <c r="M27" s="926"/>
    </row>
    <row r="28" spans="1:13" ht="22.75" customHeight="1">
      <c r="A28" s="7"/>
      <c r="B28" s="915"/>
      <c r="C28" s="917"/>
      <c r="D28" s="573" t="s">
        <v>46</v>
      </c>
      <c r="E28" s="574" t="s">
        <v>950</v>
      </c>
      <c r="F28" s="576" t="s">
        <v>1394</v>
      </c>
      <c r="G28" s="882"/>
      <c r="H28" s="729"/>
      <c r="I28" s="730"/>
      <c r="J28" s="731"/>
      <c r="K28" s="732"/>
      <c r="L28" s="733"/>
      <c r="M28" s="926"/>
    </row>
    <row r="29" spans="1:13" ht="22.75" customHeight="1">
      <c r="A29" s="7"/>
      <c r="B29" s="915"/>
      <c r="C29" s="917"/>
      <c r="D29" s="497" t="s">
        <v>16</v>
      </c>
      <c r="E29" s="510" t="s">
        <v>1967</v>
      </c>
      <c r="F29" s="503" t="s">
        <v>1367</v>
      </c>
      <c r="G29" s="882"/>
      <c r="H29" s="729"/>
      <c r="I29" s="730"/>
      <c r="J29" s="731"/>
      <c r="K29" s="732"/>
      <c r="L29" s="733"/>
      <c r="M29" s="926"/>
    </row>
    <row r="30" spans="1:13" ht="22.75" customHeight="1">
      <c r="A30" s="7"/>
      <c r="B30" s="915"/>
      <c r="C30" s="917"/>
      <c r="D30" s="497" t="s">
        <v>48</v>
      </c>
      <c r="E30" s="498" t="s">
        <v>29</v>
      </c>
      <c r="F30" s="503" t="s">
        <v>1394</v>
      </c>
      <c r="G30" s="882"/>
      <c r="H30" s="729"/>
      <c r="I30" s="730"/>
      <c r="J30" s="731"/>
      <c r="K30" s="732"/>
      <c r="L30" s="733"/>
      <c r="M30" s="926"/>
    </row>
    <row r="31" spans="1:13" ht="22.75" customHeight="1" thickBot="1">
      <c r="A31" s="7"/>
      <c r="B31" s="915"/>
      <c r="C31" s="917"/>
      <c r="D31" s="497" t="s">
        <v>48</v>
      </c>
      <c r="E31" s="498" t="s">
        <v>74</v>
      </c>
      <c r="F31" s="503" t="s">
        <v>1588</v>
      </c>
      <c r="G31" s="882"/>
      <c r="H31" s="729"/>
      <c r="I31" s="730"/>
      <c r="J31" s="731"/>
      <c r="K31" s="732"/>
      <c r="L31" s="733"/>
      <c r="M31" s="926"/>
    </row>
    <row r="32" spans="1:13" ht="22.75" customHeight="1" thickBot="1">
      <c r="A32" s="7"/>
      <c r="B32" s="915"/>
      <c r="C32" s="865" t="s">
        <v>849</v>
      </c>
      <c r="D32" s="752" t="s">
        <v>2106</v>
      </c>
      <c r="E32" s="753" t="s">
        <v>2114</v>
      </c>
      <c r="F32" s="866" t="s">
        <v>1367</v>
      </c>
      <c r="G32" s="883"/>
      <c r="H32" s="754"/>
      <c r="I32" s="755"/>
      <c r="J32" s="756"/>
      <c r="K32" s="757"/>
      <c r="L32" s="758"/>
      <c r="M32" s="926"/>
    </row>
    <row r="33" spans="1:13" ht="78">
      <c r="A33" s="7"/>
      <c r="B33" s="915"/>
      <c r="C33" s="922" t="s">
        <v>850</v>
      </c>
      <c r="D33" s="549" t="s">
        <v>2084</v>
      </c>
      <c r="E33" s="551" t="s">
        <v>1965</v>
      </c>
      <c r="F33" s="867" t="s">
        <v>1367</v>
      </c>
      <c r="G33" s="882"/>
      <c r="H33" s="729"/>
      <c r="I33" s="730"/>
      <c r="J33" s="731"/>
      <c r="K33" s="732"/>
      <c r="L33" s="733"/>
      <c r="M33" s="926"/>
    </row>
    <row r="34" spans="1:13">
      <c r="A34" s="7"/>
      <c r="B34" s="915"/>
      <c r="C34" s="917"/>
      <c r="D34" s="566" t="s">
        <v>745</v>
      </c>
      <c r="E34" s="568" t="s">
        <v>2116</v>
      </c>
      <c r="F34" s="867" t="s">
        <v>1367</v>
      </c>
      <c r="G34" s="882"/>
      <c r="H34" s="729"/>
      <c r="I34" s="730"/>
      <c r="J34" s="731"/>
      <c r="K34" s="732"/>
      <c r="L34" s="733"/>
      <c r="M34" s="926"/>
    </row>
    <row r="35" spans="1:13">
      <c r="A35" s="7"/>
      <c r="B35" s="915"/>
      <c r="C35" s="917"/>
      <c r="D35" s="837" t="s">
        <v>745</v>
      </c>
      <c r="E35" s="838" t="s">
        <v>2184</v>
      </c>
      <c r="F35" s="867" t="s">
        <v>1367</v>
      </c>
      <c r="G35" s="882"/>
      <c r="H35" s="729"/>
      <c r="I35" s="730"/>
      <c r="J35" s="731"/>
      <c r="K35" s="732"/>
      <c r="L35" s="733"/>
      <c r="M35" s="926"/>
    </row>
    <row r="36" spans="1:13" ht="26">
      <c r="A36" s="7"/>
      <c r="B36" s="915"/>
      <c r="C36" s="917"/>
      <c r="D36" s="579" t="s">
        <v>2086</v>
      </c>
      <c r="E36" s="580" t="s">
        <v>362</v>
      </c>
      <c r="F36" s="867" t="s">
        <v>1367</v>
      </c>
      <c r="G36" s="882"/>
      <c r="H36" s="729"/>
      <c r="I36" s="730"/>
      <c r="J36" s="731"/>
      <c r="K36" s="732"/>
      <c r="L36" s="733"/>
      <c r="M36" s="926"/>
    </row>
    <row r="37" spans="1:13" ht="26">
      <c r="A37" s="7"/>
      <c r="B37" s="915"/>
      <c r="C37" s="917"/>
      <c r="D37" s="497" t="s">
        <v>15</v>
      </c>
      <c r="E37" s="498" t="s">
        <v>1685</v>
      </c>
      <c r="F37" s="867" t="s">
        <v>1367</v>
      </c>
      <c r="G37" s="882"/>
      <c r="H37" s="729"/>
      <c r="I37" s="730"/>
      <c r="J37" s="731"/>
      <c r="K37" s="732"/>
      <c r="L37" s="733"/>
      <c r="M37" s="926"/>
    </row>
    <row r="38" spans="1:13" ht="22.75" customHeight="1">
      <c r="A38" s="7"/>
      <c r="B38" s="915"/>
      <c r="C38" s="917"/>
      <c r="D38" s="497" t="s">
        <v>5</v>
      </c>
      <c r="E38" s="498" t="s">
        <v>1673</v>
      </c>
      <c r="F38" s="867" t="s">
        <v>1367</v>
      </c>
      <c r="G38" s="884"/>
      <c r="H38" s="324"/>
      <c r="I38" s="325"/>
      <c r="J38" s="326"/>
      <c r="K38" s="327"/>
      <c r="L38" s="328"/>
      <c r="M38" s="926"/>
    </row>
    <row r="39" spans="1:13" ht="22.75" customHeight="1">
      <c r="A39" s="7"/>
      <c r="B39" s="915"/>
      <c r="C39" s="917"/>
      <c r="D39" s="497" t="s">
        <v>5</v>
      </c>
      <c r="E39" s="498" t="s">
        <v>1676</v>
      </c>
      <c r="F39" s="867" t="s">
        <v>1367</v>
      </c>
      <c r="G39" s="884"/>
      <c r="H39" s="747"/>
      <c r="I39" s="748"/>
      <c r="J39" s="749"/>
      <c r="K39" s="750"/>
      <c r="L39" s="751"/>
      <c r="M39" s="926"/>
    </row>
    <row r="40" spans="1:13" ht="22.75" customHeight="1">
      <c r="A40" s="7"/>
      <c r="B40" s="915"/>
      <c r="C40" s="917"/>
      <c r="D40" s="497" t="s">
        <v>5</v>
      </c>
      <c r="E40" s="510" t="s">
        <v>1674</v>
      </c>
      <c r="F40" s="867" t="s">
        <v>1367</v>
      </c>
      <c r="G40" s="884"/>
      <c r="H40" s="747"/>
      <c r="I40" s="748"/>
      <c r="J40" s="749"/>
      <c r="K40" s="750"/>
      <c r="L40" s="751"/>
      <c r="M40" s="926"/>
    </row>
    <row r="41" spans="1:13" ht="22.75" customHeight="1">
      <c r="A41" s="7"/>
      <c r="B41" s="915"/>
      <c r="C41" s="923" t="s">
        <v>2157</v>
      </c>
      <c r="D41" s="549" t="s">
        <v>2109</v>
      </c>
      <c r="E41" s="551" t="s">
        <v>1575</v>
      </c>
      <c r="F41" s="867" t="s">
        <v>1367</v>
      </c>
      <c r="G41" s="884"/>
      <c r="H41" s="747"/>
      <c r="I41" s="748"/>
      <c r="J41" s="749"/>
      <c r="K41" s="750"/>
      <c r="L41" s="751"/>
      <c r="M41" s="926"/>
    </row>
    <row r="42" spans="1:13" ht="22.75" customHeight="1" thickBot="1">
      <c r="A42" s="7"/>
      <c r="B42" s="915"/>
      <c r="C42" s="923"/>
      <c r="D42" s="584" t="s">
        <v>4</v>
      </c>
      <c r="E42" s="586" t="s">
        <v>1572</v>
      </c>
      <c r="F42" s="867" t="s">
        <v>1367</v>
      </c>
      <c r="G42" s="884"/>
      <c r="H42" s="747"/>
      <c r="I42" s="748"/>
      <c r="J42" s="749"/>
      <c r="K42" s="750"/>
      <c r="L42" s="751"/>
      <c r="M42" s="926"/>
    </row>
    <row r="43" spans="1:13" ht="22.5">
      <c r="B43" s="902" t="s">
        <v>851</v>
      </c>
      <c r="C43" s="297"/>
      <c r="D43" s="297"/>
      <c r="E43" s="297"/>
      <c r="F43" s="109"/>
      <c r="G43" s="297"/>
      <c r="H43" s="315" t="s">
        <v>847</v>
      </c>
      <c r="I43" s="315" t="s">
        <v>847</v>
      </c>
      <c r="J43" s="315" t="s">
        <v>847</v>
      </c>
      <c r="K43" s="315" t="s">
        <v>847</v>
      </c>
      <c r="L43" s="315" t="s">
        <v>847</v>
      </c>
      <c r="M43" s="928" t="s">
        <v>1611</v>
      </c>
    </row>
    <row r="44" spans="1:13" ht="23" thickBot="1">
      <c r="B44" s="903"/>
      <c r="C44" s="301"/>
      <c r="D44" s="301"/>
      <c r="E44" s="301"/>
      <c r="F44" s="301"/>
      <c r="G44" s="301"/>
      <c r="H44" s="318" t="s">
        <v>847</v>
      </c>
      <c r="I44" s="318" t="s">
        <v>847</v>
      </c>
      <c r="J44" s="318" t="s">
        <v>847</v>
      </c>
      <c r="K44" s="318" t="s">
        <v>847</v>
      </c>
      <c r="L44" s="318" t="s">
        <v>847</v>
      </c>
      <c r="M44" s="929"/>
    </row>
    <row r="45" spans="1:13">
      <c r="E45" s="823" cm="1">
        <f t="array" aca="1" ref="E45" ca="1">E45:E46</f>
        <v>0</v>
      </c>
    </row>
    <row r="49" spans="2:19" ht="23">
      <c r="B49" s="346" t="s">
        <v>2209</v>
      </c>
      <c r="C49" s="257"/>
      <c r="D49" s="257"/>
      <c r="E49" s="257"/>
      <c r="F49" s="701"/>
      <c r="G49" s="257"/>
      <c r="H49" s="257"/>
      <c r="I49" s="257"/>
      <c r="J49" s="257"/>
      <c r="K49" s="257"/>
      <c r="L49" s="257"/>
      <c r="M49" s="470"/>
      <c r="N49" s="470"/>
      <c r="O49" s="847"/>
      <c r="P49" s="847"/>
      <c r="Q49" s="847"/>
      <c r="R49" s="847"/>
      <c r="S49" s="847"/>
    </row>
    <row r="50" spans="2:19" ht="23">
      <c r="B50" s="467"/>
      <c r="C50" s="257"/>
      <c r="D50" s="257"/>
      <c r="E50" s="257"/>
      <c r="F50" s="701"/>
      <c r="G50" s="257"/>
      <c r="H50" s="257"/>
      <c r="I50" s="257"/>
      <c r="J50" s="257"/>
      <c r="K50" s="257"/>
      <c r="L50" s="257"/>
      <c r="M50" s="470"/>
      <c r="N50" s="470"/>
      <c r="O50" s="847"/>
      <c r="P50" s="847"/>
      <c r="Q50" s="847"/>
      <c r="R50" s="847"/>
      <c r="S50" s="847"/>
    </row>
    <row r="51" spans="2:19">
      <c r="B51" s="429"/>
      <c r="C51" s="257"/>
      <c r="D51" s="257"/>
      <c r="E51" s="257"/>
      <c r="F51" s="701"/>
      <c r="G51" s="257"/>
      <c r="H51" s="257"/>
      <c r="I51" s="257"/>
      <c r="J51" s="257"/>
      <c r="K51" s="257"/>
      <c r="L51" s="257"/>
      <c r="M51" s="470"/>
      <c r="N51" s="470"/>
      <c r="O51" s="847"/>
      <c r="P51" s="847"/>
      <c r="Q51" s="847"/>
      <c r="R51" s="847"/>
      <c r="S51" s="847"/>
    </row>
    <row r="52" spans="2:19" ht="34.5">
      <c r="B52" s="347" t="s">
        <v>1590</v>
      </c>
      <c r="C52" s="435" t="s">
        <v>1518</v>
      </c>
      <c r="D52" s="856" t="s">
        <v>815</v>
      </c>
      <c r="E52" s="856" t="s">
        <v>823</v>
      </c>
      <c r="F52" s="435" t="s">
        <v>1519</v>
      </c>
      <c r="G52" s="435"/>
      <c r="H52" s="435"/>
      <c r="I52" s="435" t="s">
        <v>1589</v>
      </c>
      <c r="J52" s="468" t="s">
        <v>1591</v>
      </c>
      <c r="K52" s="468"/>
      <c r="L52" s="435" t="s">
        <v>379</v>
      </c>
      <c r="M52" s="857" t="s">
        <v>1520</v>
      </c>
      <c r="N52" s="857" t="s">
        <v>1521</v>
      </c>
      <c r="O52" s="858">
        <v>1</v>
      </c>
      <c r="P52" s="859">
        <v>2</v>
      </c>
      <c r="Q52" s="860">
        <v>3</v>
      </c>
      <c r="R52" s="861">
        <v>4</v>
      </c>
      <c r="S52" s="862">
        <v>5</v>
      </c>
    </row>
    <row r="53" spans="2:19" ht="103.5">
      <c r="B53" s="348"/>
      <c r="C53" s="863" t="s">
        <v>1522</v>
      </c>
      <c r="D53" s="436" t="s">
        <v>1593</v>
      </c>
      <c r="E53" s="436" t="s">
        <v>1593</v>
      </c>
      <c r="F53" s="773" t="s">
        <v>1524</v>
      </c>
      <c r="G53" s="864"/>
      <c r="H53" s="771"/>
      <c r="I53" s="771" t="s">
        <v>1523</v>
      </c>
      <c r="J53" s="436" t="s">
        <v>1592</v>
      </c>
      <c r="K53" s="436"/>
      <c r="L53" s="771" t="s">
        <v>1588</v>
      </c>
      <c r="M53" s="475" t="s">
        <v>1525</v>
      </c>
      <c r="N53" s="473" t="s">
        <v>1526</v>
      </c>
      <c r="O53" s="848"/>
      <c r="P53" s="848"/>
      <c r="Q53" s="848"/>
      <c r="R53" s="848"/>
      <c r="S53" s="848"/>
    </row>
    <row r="54" spans="2:19" ht="138">
      <c r="B54" s="348"/>
      <c r="C54" s="772" t="s">
        <v>1527</v>
      </c>
      <c r="D54" s="436" t="s">
        <v>1593</v>
      </c>
      <c r="E54" s="436" t="s">
        <v>1593</v>
      </c>
      <c r="F54" s="773" t="s">
        <v>1528</v>
      </c>
      <c r="G54" s="595"/>
      <c r="H54" s="771"/>
      <c r="I54" s="772" t="s">
        <v>1523</v>
      </c>
      <c r="J54" s="436" t="s">
        <v>1592</v>
      </c>
      <c r="K54" s="436"/>
      <c r="L54" s="771" t="s">
        <v>1588</v>
      </c>
      <c r="M54" s="472" t="s">
        <v>1529</v>
      </c>
      <c r="N54" s="473" t="s">
        <v>1530</v>
      </c>
      <c r="O54" s="848" t="s">
        <v>1287</v>
      </c>
      <c r="P54" s="848" t="s">
        <v>1277</v>
      </c>
      <c r="Q54" s="848" t="s">
        <v>1288</v>
      </c>
      <c r="R54" s="848" t="s">
        <v>1289</v>
      </c>
      <c r="S54" s="848" t="s">
        <v>1290</v>
      </c>
    </row>
    <row r="55" spans="2:19" ht="115">
      <c r="B55" s="348"/>
      <c r="C55" s="772" t="s">
        <v>1531</v>
      </c>
      <c r="D55" s="436" t="s">
        <v>1593</v>
      </c>
      <c r="E55" s="436" t="s">
        <v>1593</v>
      </c>
      <c r="F55" s="773" t="s">
        <v>1532</v>
      </c>
      <c r="G55" s="595"/>
      <c r="H55" s="771"/>
      <c r="I55" s="899" t="s">
        <v>1523</v>
      </c>
      <c r="J55" s="436" t="s">
        <v>1592</v>
      </c>
      <c r="K55" s="436"/>
      <c r="L55" s="771" t="s">
        <v>1588</v>
      </c>
      <c r="M55" s="472" t="s">
        <v>1533</v>
      </c>
      <c r="N55" s="474" t="s">
        <v>1534</v>
      </c>
      <c r="O55" s="898" t="s">
        <v>1275</v>
      </c>
      <c r="P55" s="898" t="s">
        <v>1276</v>
      </c>
      <c r="Q55" s="898" t="s">
        <v>1277</v>
      </c>
      <c r="R55" s="898" t="s">
        <v>1278</v>
      </c>
      <c r="S55" s="898" t="s">
        <v>1279</v>
      </c>
    </row>
    <row r="56" spans="2:19" ht="115">
      <c r="B56" s="348"/>
      <c r="C56" s="772" t="s">
        <v>1531</v>
      </c>
      <c r="D56" s="436" t="s">
        <v>1593</v>
      </c>
      <c r="E56" s="436" t="s">
        <v>1593</v>
      </c>
      <c r="F56" s="773" t="s">
        <v>1535</v>
      </c>
      <c r="G56" s="595"/>
      <c r="H56" s="771"/>
      <c r="I56" s="899"/>
      <c r="J56" s="436" t="s">
        <v>1592</v>
      </c>
      <c r="K56" s="436"/>
      <c r="L56" s="771" t="s">
        <v>1588</v>
      </c>
      <c r="M56" s="475" t="s">
        <v>1536</v>
      </c>
      <c r="N56" s="473" t="s">
        <v>1537</v>
      </c>
      <c r="O56" s="898"/>
      <c r="P56" s="898"/>
      <c r="Q56" s="898"/>
      <c r="R56" s="898"/>
      <c r="S56" s="898"/>
    </row>
    <row r="57" spans="2:19" ht="230">
      <c r="B57" s="348"/>
      <c r="C57" s="772" t="s">
        <v>1527</v>
      </c>
      <c r="D57" s="436" t="s">
        <v>1593</v>
      </c>
      <c r="E57" s="436" t="s">
        <v>1593</v>
      </c>
      <c r="F57" s="773" t="s">
        <v>1538</v>
      </c>
      <c r="G57" s="595"/>
      <c r="H57" s="771"/>
      <c r="I57" s="772" t="s">
        <v>1011</v>
      </c>
      <c r="J57" s="436" t="s">
        <v>1592</v>
      </c>
      <c r="K57" s="436"/>
      <c r="L57" s="771" t="s">
        <v>1588</v>
      </c>
      <c r="M57" s="475" t="s">
        <v>1539</v>
      </c>
      <c r="N57" s="473" t="s">
        <v>1540</v>
      </c>
      <c r="O57" s="849" t="s">
        <v>1594</v>
      </c>
      <c r="P57" s="849" t="s">
        <v>1594</v>
      </c>
      <c r="Q57" s="849" t="s">
        <v>1594</v>
      </c>
      <c r="R57" s="849" t="s">
        <v>1594</v>
      </c>
      <c r="S57" s="849" t="s">
        <v>1594</v>
      </c>
    </row>
    <row r="58" spans="2:19" ht="161">
      <c r="B58" s="348"/>
      <c r="C58" s="772" t="s">
        <v>1531</v>
      </c>
      <c r="D58" s="436" t="s">
        <v>1593</v>
      </c>
      <c r="E58" s="436" t="s">
        <v>1593</v>
      </c>
      <c r="F58" s="773" t="s">
        <v>1541</v>
      </c>
      <c r="G58" s="595"/>
      <c r="H58" s="771"/>
      <c r="I58" s="772" t="s">
        <v>1011</v>
      </c>
      <c r="J58" s="436" t="s">
        <v>1592</v>
      </c>
      <c r="K58" s="436"/>
      <c r="L58" s="771" t="s">
        <v>1588</v>
      </c>
      <c r="M58" s="472" t="s">
        <v>1542</v>
      </c>
      <c r="N58" s="474" t="s">
        <v>1534</v>
      </c>
      <c r="O58" s="849" t="s">
        <v>1594</v>
      </c>
      <c r="P58" s="849" t="s">
        <v>1594</v>
      </c>
      <c r="Q58" s="849" t="s">
        <v>1594</v>
      </c>
      <c r="R58" s="849" t="s">
        <v>1594</v>
      </c>
      <c r="S58" s="849" t="s">
        <v>1594</v>
      </c>
    </row>
    <row r="59" spans="2:19" ht="184">
      <c r="B59" s="348"/>
      <c r="C59" s="772" t="s">
        <v>1531</v>
      </c>
      <c r="D59" s="436" t="s">
        <v>1593</v>
      </c>
      <c r="E59" s="436" t="s">
        <v>1593</v>
      </c>
      <c r="F59" s="773" t="s">
        <v>1543</v>
      </c>
      <c r="G59" s="595"/>
      <c r="H59" s="771"/>
      <c r="I59" s="772" t="s">
        <v>1011</v>
      </c>
      <c r="J59" s="436" t="s">
        <v>1592</v>
      </c>
      <c r="K59" s="436"/>
      <c r="L59" s="771" t="s">
        <v>1588</v>
      </c>
      <c r="M59" s="472" t="s">
        <v>1544</v>
      </c>
      <c r="N59" s="474" t="s">
        <v>1534</v>
      </c>
      <c r="O59" s="849" t="s">
        <v>1594</v>
      </c>
      <c r="P59" s="849" t="s">
        <v>1594</v>
      </c>
      <c r="Q59" s="849" t="s">
        <v>1594</v>
      </c>
      <c r="R59" s="849" t="s">
        <v>1594</v>
      </c>
      <c r="S59" s="849" t="s">
        <v>1594</v>
      </c>
    </row>
    <row r="60" spans="2:19" ht="36">
      <c r="B60" s="348"/>
      <c r="C60" s="899" t="s">
        <v>1545</v>
      </c>
      <c r="D60" s="436" t="s">
        <v>1593</v>
      </c>
      <c r="E60" s="436" t="s">
        <v>1593</v>
      </c>
      <c r="F60" s="900" t="s">
        <v>1546</v>
      </c>
      <c r="G60" s="595"/>
      <c r="H60" s="771"/>
      <c r="I60" s="899" t="s">
        <v>1011</v>
      </c>
      <c r="J60" s="436" t="s">
        <v>1592</v>
      </c>
      <c r="K60" s="436"/>
      <c r="L60" s="771" t="s">
        <v>1588</v>
      </c>
      <c r="M60" s="475" t="s">
        <v>1547</v>
      </c>
      <c r="N60" s="475"/>
      <c r="O60" s="901" t="s">
        <v>1594</v>
      </c>
      <c r="P60" s="849" t="s">
        <v>1594</v>
      </c>
      <c r="Q60" s="849" t="s">
        <v>1594</v>
      </c>
      <c r="R60" s="849" t="s">
        <v>1594</v>
      </c>
      <c r="S60" s="849" t="s">
        <v>1594</v>
      </c>
    </row>
    <row r="61" spans="2:19" ht="36">
      <c r="B61" s="348"/>
      <c r="C61" s="899"/>
      <c r="D61" s="436" t="s">
        <v>1593</v>
      </c>
      <c r="E61" s="436" t="s">
        <v>1593</v>
      </c>
      <c r="F61" s="900"/>
      <c r="G61" s="595"/>
      <c r="H61" s="771"/>
      <c r="I61" s="899"/>
      <c r="J61" s="436" t="s">
        <v>1592</v>
      </c>
      <c r="K61" s="436"/>
      <c r="L61" s="771" t="s">
        <v>1588</v>
      </c>
      <c r="M61" s="475" t="s">
        <v>1548</v>
      </c>
      <c r="N61" s="476" t="s">
        <v>1549</v>
      </c>
      <c r="O61" s="901"/>
      <c r="P61" s="849" t="s">
        <v>1594</v>
      </c>
      <c r="Q61" s="849" t="s">
        <v>1594</v>
      </c>
      <c r="R61" s="849" t="s">
        <v>1594</v>
      </c>
      <c r="S61" s="849" t="s">
        <v>1594</v>
      </c>
    </row>
    <row r="62" spans="2:19" ht="36">
      <c r="B62" s="348"/>
      <c r="C62" s="899"/>
      <c r="D62" s="436" t="s">
        <v>1593</v>
      </c>
      <c r="E62" s="436" t="s">
        <v>1593</v>
      </c>
      <c r="F62" s="900"/>
      <c r="G62" s="595"/>
      <c r="H62" s="771"/>
      <c r="I62" s="899"/>
      <c r="J62" s="436" t="s">
        <v>1592</v>
      </c>
      <c r="K62" s="436"/>
      <c r="L62" s="771" t="s">
        <v>1588</v>
      </c>
      <c r="M62" s="475" t="s">
        <v>1550</v>
      </c>
      <c r="N62" s="476" t="s">
        <v>1549</v>
      </c>
      <c r="O62" s="901"/>
      <c r="P62" s="849" t="s">
        <v>1594</v>
      </c>
      <c r="Q62" s="849" t="s">
        <v>1594</v>
      </c>
      <c r="R62" s="849" t="s">
        <v>1594</v>
      </c>
      <c r="S62" s="849" t="s">
        <v>1594</v>
      </c>
    </row>
    <row r="63" spans="2:19" ht="36">
      <c r="B63" s="348"/>
      <c r="C63" s="899"/>
      <c r="D63" s="436" t="s">
        <v>1593</v>
      </c>
      <c r="E63" s="436" t="s">
        <v>1593</v>
      </c>
      <c r="F63" s="900"/>
      <c r="G63" s="595"/>
      <c r="H63" s="771"/>
      <c r="I63" s="899"/>
      <c r="J63" s="436" t="s">
        <v>1592</v>
      </c>
      <c r="K63" s="436"/>
      <c r="L63" s="771" t="s">
        <v>1588</v>
      </c>
      <c r="M63" s="475" t="s">
        <v>1551</v>
      </c>
      <c r="N63" s="476" t="s">
        <v>1549</v>
      </c>
      <c r="O63" s="901"/>
      <c r="P63" s="849" t="s">
        <v>1594</v>
      </c>
      <c r="Q63" s="849" t="s">
        <v>1594</v>
      </c>
      <c r="R63" s="849" t="s">
        <v>1594</v>
      </c>
      <c r="S63" s="849" t="s">
        <v>1594</v>
      </c>
    </row>
    <row r="64" spans="2:19" ht="36">
      <c r="B64" s="348"/>
      <c r="C64" s="891" t="s">
        <v>1552</v>
      </c>
      <c r="D64" s="436" t="s">
        <v>1593</v>
      </c>
      <c r="E64" s="436" t="s">
        <v>1593</v>
      </c>
      <c r="F64" s="894" t="s">
        <v>1553</v>
      </c>
      <c r="G64" s="770"/>
      <c r="H64" s="771"/>
      <c r="I64" s="891" t="s">
        <v>1011</v>
      </c>
      <c r="J64" s="436" t="s">
        <v>1592</v>
      </c>
      <c r="K64" s="436"/>
      <c r="L64" s="771" t="s">
        <v>1588</v>
      </c>
      <c r="M64" s="477" t="s">
        <v>1554</v>
      </c>
      <c r="N64" s="478"/>
      <c r="O64" s="849" t="s">
        <v>1594</v>
      </c>
      <c r="P64" s="849" t="s">
        <v>1594</v>
      </c>
      <c r="Q64" s="849" t="s">
        <v>1594</v>
      </c>
      <c r="R64" s="849" t="s">
        <v>1594</v>
      </c>
      <c r="S64" s="849" t="s">
        <v>1594</v>
      </c>
    </row>
    <row r="65" spans="2:19" ht="36">
      <c r="B65" s="348"/>
      <c r="C65" s="892"/>
      <c r="D65" s="436" t="s">
        <v>1593</v>
      </c>
      <c r="E65" s="436" t="s">
        <v>1593</v>
      </c>
      <c r="F65" s="895"/>
      <c r="G65" s="770"/>
      <c r="H65" s="771"/>
      <c r="I65" s="892"/>
      <c r="J65" s="436" t="s">
        <v>1592</v>
      </c>
      <c r="K65" s="436"/>
      <c r="L65" s="771" t="s">
        <v>1588</v>
      </c>
      <c r="M65" s="477" t="s">
        <v>1555</v>
      </c>
      <c r="N65" s="478" t="s">
        <v>1556</v>
      </c>
      <c r="O65" s="849" t="s">
        <v>1594</v>
      </c>
      <c r="P65" s="849" t="s">
        <v>1594</v>
      </c>
      <c r="Q65" s="849" t="s">
        <v>1594</v>
      </c>
      <c r="R65" s="849" t="s">
        <v>1594</v>
      </c>
      <c r="S65" s="849" t="s">
        <v>1594</v>
      </c>
    </row>
    <row r="66" spans="2:19" ht="36">
      <c r="B66" s="348"/>
      <c r="C66" s="892"/>
      <c r="D66" s="436" t="s">
        <v>1593</v>
      </c>
      <c r="E66" s="436" t="s">
        <v>1593</v>
      </c>
      <c r="F66" s="895"/>
      <c r="G66" s="770"/>
      <c r="H66" s="771"/>
      <c r="I66" s="892"/>
      <c r="J66" s="436" t="s">
        <v>1592</v>
      </c>
      <c r="K66" s="436"/>
      <c r="L66" s="771" t="s">
        <v>1588</v>
      </c>
      <c r="M66" s="477" t="s">
        <v>1557</v>
      </c>
      <c r="N66" s="478" t="s">
        <v>1556</v>
      </c>
      <c r="O66" s="849" t="s">
        <v>1594</v>
      </c>
      <c r="P66" s="849" t="s">
        <v>1594</v>
      </c>
      <c r="Q66" s="849" t="s">
        <v>1594</v>
      </c>
      <c r="R66" s="849" t="s">
        <v>1594</v>
      </c>
      <c r="S66" s="849" t="s">
        <v>1594</v>
      </c>
    </row>
    <row r="67" spans="2:19" ht="36">
      <c r="B67" s="348"/>
      <c r="C67" s="892"/>
      <c r="D67" s="436" t="s">
        <v>1593</v>
      </c>
      <c r="E67" s="436" t="s">
        <v>1593</v>
      </c>
      <c r="F67" s="895"/>
      <c r="G67" s="770"/>
      <c r="H67" s="771"/>
      <c r="I67" s="892"/>
      <c r="J67" s="436" t="s">
        <v>1592</v>
      </c>
      <c r="K67" s="436"/>
      <c r="L67" s="771" t="s">
        <v>1588</v>
      </c>
      <c r="M67" s="477" t="s">
        <v>1558</v>
      </c>
      <c r="N67" s="478" t="s">
        <v>1556</v>
      </c>
      <c r="O67" s="849" t="s">
        <v>1594</v>
      </c>
      <c r="P67" s="849" t="s">
        <v>1594</v>
      </c>
      <c r="Q67" s="849" t="s">
        <v>1594</v>
      </c>
      <c r="R67" s="849" t="s">
        <v>1594</v>
      </c>
      <c r="S67" s="849" t="s">
        <v>1594</v>
      </c>
    </row>
    <row r="68" spans="2:19" ht="36">
      <c r="B68" s="348"/>
      <c r="C68" s="892"/>
      <c r="D68" s="436" t="s">
        <v>1593</v>
      </c>
      <c r="E68" s="436" t="s">
        <v>1593</v>
      </c>
      <c r="F68" s="895"/>
      <c r="G68" s="770"/>
      <c r="H68" s="771"/>
      <c r="I68" s="892"/>
      <c r="J68" s="436" t="s">
        <v>1592</v>
      </c>
      <c r="K68" s="436"/>
      <c r="L68" s="771" t="s">
        <v>1588</v>
      </c>
      <c r="M68" s="477" t="s">
        <v>1559</v>
      </c>
      <c r="N68" s="478" t="s">
        <v>1556</v>
      </c>
      <c r="O68" s="849" t="s">
        <v>1594</v>
      </c>
      <c r="P68" s="849" t="s">
        <v>1594</v>
      </c>
      <c r="Q68" s="849" t="s">
        <v>1594</v>
      </c>
      <c r="R68" s="849" t="s">
        <v>1594</v>
      </c>
      <c r="S68" s="849" t="s">
        <v>1594</v>
      </c>
    </row>
    <row r="69" spans="2:19" ht="36">
      <c r="B69" s="348"/>
      <c r="C69" s="893"/>
      <c r="D69" s="436" t="s">
        <v>1593</v>
      </c>
      <c r="E69" s="436" t="s">
        <v>1593</v>
      </c>
      <c r="F69" s="896"/>
      <c r="G69" s="770"/>
      <c r="H69" s="771"/>
      <c r="I69" s="893"/>
      <c r="J69" s="436" t="s">
        <v>1592</v>
      </c>
      <c r="K69" s="436"/>
      <c r="L69" s="771" t="s">
        <v>1588</v>
      </c>
      <c r="M69" s="477" t="s">
        <v>1560</v>
      </c>
      <c r="N69" s="478" t="s">
        <v>1561</v>
      </c>
      <c r="O69" s="849" t="s">
        <v>1594</v>
      </c>
      <c r="P69" s="849" t="s">
        <v>1594</v>
      </c>
      <c r="Q69" s="849" t="s">
        <v>1594</v>
      </c>
      <c r="R69" s="849" t="s">
        <v>1594</v>
      </c>
      <c r="S69" s="849" t="s">
        <v>1594</v>
      </c>
    </row>
    <row r="70" spans="2:19" ht="36">
      <c r="B70" s="897"/>
      <c r="C70" s="889" t="s">
        <v>1563</v>
      </c>
      <c r="D70" s="436" t="s">
        <v>1593</v>
      </c>
      <c r="E70" s="436" t="s">
        <v>1593</v>
      </c>
      <c r="F70" s="890" t="s">
        <v>1564</v>
      </c>
      <c r="G70" s="768"/>
      <c r="H70" s="771"/>
      <c r="I70" s="889" t="s">
        <v>20</v>
      </c>
      <c r="J70" s="436" t="s">
        <v>1592</v>
      </c>
      <c r="K70" s="436"/>
      <c r="L70" s="771" t="s">
        <v>1367</v>
      </c>
      <c r="M70" s="479" t="s">
        <v>1565</v>
      </c>
      <c r="N70" s="480"/>
      <c r="O70" s="849" t="s">
        <v>1594</v>
      </c>
      <c r="P70" s="849" t="s">
        <v>1594</v>
      </c>
      <c r="Q70" s="849" t="s">
        <v>1594</v>
      </c>
      <c r="R70" s="849" t="s">
        <v>1594</v>
      </c>
      <c r="S70" s="849" t="s">
        <v>1594</v>
      </c>
    </row>
    <row r="71" spans="2:19" ht="36">
      <c r="B71" s="897"/>
      <c r="C71" s="889"/>
      <c r="D71" s="436" t="s">
        <v>1593</v>
      </c>
      <c r="E71" s="436" t="s">
        <v>1593</v>
      </c>
      <c r="F71" s="890"/>
      <c r="G71" s="768"/>
      <c r="H71" s="771"/>
      <c r="I71" s="889"/>
      <c r="J71" s="436" t="s">
        <v>1592</v>
      </c>
      <c r="K71" s="436"/>
      <c r="L71" s="771" t="s">
        <v>1367</v>
      </c>
      <c r="M71" s="479" t="s">
        <v>1566</v>
      </c>
      <c r="N71" s="480" t="s">
        <v>163</v>
      </c>
      <c r="O71" s="849" t="s">
        <v>1594</v>
      </c>
      <c r="P71" s="849" t="s">
        <v>1594</v>
      </c>
      <c r="Q71" s="849" t="s">
        <v>1594</v>
      </c>
      <c r="R71" s="849" t="s">
        <v>1594</v>
      </c>
      <c r="S71" s="849" t="s">
        <v>1594</v>
      </c>
    </row>
    <row r="72" spans="2:19" ht="36">
      <c r="B72" s="886"/>
      <c r="C72" s="887" t="s">
        <v>1567</v>
      </c>
      <c r="D72" s="436" t="s">
        <v>1593</v>
      </c>
      <c r="E72" s="436" t="s">
        <v>1593</v>
      </c>
      <c r="F72" s="888" t="s">
        <v>2141</v>
      </c>
      <c r="G72" s="765"/>
      <c r="H72" s="771"/>
      <c r="I72" s="889" t="s">
        <v>1489</v>
      </c>
      <c r="J72" s="436" t="s">
        <v>1592</v>
      </c>
      <c r="K72" s="436"/>
      <c r="L72" s="771" t="s">
        <v>1367</v>
      </c>
      <c r="M72" s="479" t="s">
        <v>1568</v>
      </c>
      <c r="N72" s="480" t="s">
        <v>424</v>
      </c>
      <c r="O72" s="849" t="s">
        <v>1594</v>
      </c>
      <c r="P72" s="849" t="s">
        <v>1594</v>
      </c>
      <c r="Q72" s="849" t="s">
        <v>1594</v>
      </c>
      <c r="R72" s="849" t="s">
        <v>1594</v>
      </c>
      <c r="S72" s="849" t="s">
        <v>1594</v>
      </c>
    </row>
    <row r="73" spans="2:19" ht="36">
      <c r="B73" s="886"/>
      <c r="C73" s="887"/>
      <c r="D73" s="436" t="s">
        <v>1593</v>
      </c>
      <c r="E73" s="436" t="s">
        <v>1593</v>
      </c>
      <c r="F73" s="888"/>
      <c r="G73" s="765"/>
      <c r="H73" s="771"/>
      <c r="I73" s="889"/>
      <c r="J73" s="436" t="s">
        <v>1592</v>
      </c>
      <c r="K73" s="436"/>
      <c r="L73" s="771" t="s">
        <v>1367</v>
      </c>
      <c r="M73" s="479" t="s">
        <v>2044</v>
      </c>
      <c r="N73" s="480" t="s">
        <v>163</v>
      </c>
      <c r="O73" s="849" t="s">
        <v>1594</v>
      </c>
      <c r="P73" s="849" t="s">
        <v>1594</v>
      </c>
      <c r="Q73" s="849" t="s">
        <v>1594</v>
      </c>
      <c r="R73" s="849" t="s">
        <v>1594</v>
      </c>
      <c r="S73" s="849" t="s">
        <v>1594</v>
      </c>
    </row>
    <row r="74" spans="2:19" ht="92">
      <c r="B74" s="767"/>
      <c r="C74" s="768" t="s">
        <v>380</v>
      </c>
      <c r="D74" s="436" t="s">
        <v>1593</v>
      </c>
      <c r="E74" s="436" t="s">
        <v>1593</v>
      </c>
      <c r="F74" s="769" t="s">
        <v>1569</v>
      </c>
      <c r="G74" s="765"/>
      <c r="H74" s="771"/>
      <c r="I74" s="768" t="s">
        <v>1011</v>
      </c>
      <c r="J74" s="436" t="s">
        <v>1592</v>
      </c>
      <c r="K74" s="436"/>
      <c r="L74" s="771" t="s">
        <v>1367</v>
      </c>
      <c r="M74" s="479" t="s">
        <v>1570</v>
      </c>
      <c r="N74" s="480" t="s">
        <v>1571</v>
      </c>
      <c r="O74" s="849" t="s">
        <v>1594</v>
      </c>
      <c r="P74" s="849" t="s">
        <v>1594</v>
      </c>
      <c r="Q74" s="849" t="s">
        <v>1594</v>
      </c>
      <c r="R74" s="849" t="s">
        <v>1594</v>
      </c>
      <c r="S74" s="849" t="s">
        <v>1594</v>
      </c>
    </row>
    <row r="75" spans="2:19" ht="46">
      <c r="B75" s="764"/>
      <c r="C75" s="765" t="s">
        <v>48</v>
      </c>
      <c r="D75" s="436" t="s">
        <v>1593</v>
      </c>
      <c r="E75" s="436" t="s">
        <v>1593</v>
      </c>
      <c r="F75" s="769" t="s">
        <v>874</v>
      </c>
      <c r="G75" s="765"/>
      <c r="H75" s="771"/>
      <c r="I75" s="765" t="s">
        <v>1011</v>
      </c>
      <c r="J75" s="436" t="s">
        <v>1592</v>
      </c>
      <c r="K75" s="436"/>
      <c r="L75" s="771" t="s">
        <v>1367</v>
      </c>
      <c r="M75" s="480" t="s">
        <v>1577</v>
      </c>
      <c r="N75" s="480" t="s">
        <v>1517</v>
      </c>
      <c r="O75" s="849" t="s">
        <v>1594</v>
      </c>
      <c r="P75" s="849" t="s">
        <v>1594</v>
      </c>
      <c r="Q75" s="849" t="s">
        <v>1594</v>
      </c>
      <c r="R75" s="849" t="s">
        <v>1594</v>
      </c>
      <c r="S75" s="849" t="s">
        <v>1594</v>
      </c>
    </row>
    <row r="76" spans="2:19" ht="36">
      <c r="B76" s="886"/>
      <c r="C76" s="887" t="s">
        <v>0</v>
      </c>
      <c r="D76" s="436" t="s">
        <v>1593</v>
      </c>
      <c r="E76" s="436" t="s">
        <v>1593</v>
      </c>
      <c r="F76" s="890" t="s">
        <v>1578</v>
      </c>
      <c r="G76" s="768"/>
      <c r="H76" s="771"/>
      <c r="I76" s="889" t="s">
        <v>1489</v>
      </c>
      <c r="J76" s="436" t="s">
        <v>1592</v>
      </c>
      <c r="K76" s="436"/>
      <c r="L76" s="771" t="s">
        <v>1367</v>
      </c>
      <c r="M76" s="481" t="s">
        <v>1579</v>
      </c>
      <c r="N76" s="481" t="s">
        <v>1580</v>
      </c>
      <c r="O76" s="849" t="s">
        <v>1594</v>
      </c>
      <c r="P76" s="849" t="s">
        <v>1594</v>
      </c>
      <c r="Q76" s="849" t="s">
        <v>1594</v>
      </c>
      <c r="R76" s="849" t="s">
        <v>1594</v>
      </c>
      <c r="S76" s="849" t="s">
        <v>1594</v>
      </c>
    </row>
    <row r="77" spans="2:19" ht="36">
      <c r="B77" s="886"/>
      <c r="C77" s="887"/>
      <c r="D77" s="436" t="s">
        <v>1593</v>
      </c>
      <c r="E77" s="436" t="s">
        <v>1593</v>
      </c>
      <c r="F77" s="890"/>
      <c r="G77" s="768"/>
      <c r="H77" s="771"/>
      <c r="I77" s="889"/>
      <c r="J77" s="436" t="s">
        <v>1592</v>
      </c>
      <c r="K77" s="436"/>
      <c r="L77" s="771" t="s">
        <v>1367</v>
      </c>
      <c r="M77" s="481" t="s">
        <v>1581</v>
      </c>
      <c r="N77" s="481" t="s">
        <v>163</v>
      </c>
      <c r="O77" s="849" t="s">
        <v>1594</v>
      </c>
      <c r="P77" s="849" t="s">
        <v>1594</v>
      </c>
      <c r="Q77" s="849" t="s">
        <v>1594</v>
      </c>
      <c r="R77" s="849" t="s">
        <v>1594</v>
      </c>
      <c r="S77" s="849" t="s">
        <v>1594</v>
      </c>
    </row>
    <row r="78" spans="2:19" ht="115">
      <c r="B78" s="764"/>
      <c r="C78" s="765" t="s">
        <v>0</v>
      </c>
      <c r="D78" s="436" t="s">
        <v>1593</v>
      </c>
      <c r="E78" s="436" t="s">
        <v>1593</v>
      </c>
      <c r="F78" s="766" t="s">
        <v>1582</v>
      </c>
      <c r="G78" s="768"/>
      <c r="H78" s="771"/>
      <c r="I78" s="768" t="s">
        <v>1489</v>
      </c>
      <c r="J78" s="436" t="s">
        <v>1592</v>
      </c>
      <c r="K78" s="436"/>
      <c r="L78" s="771" t="s">
        <v>1367</v>
      </c>
      <c r="M78" s="481" t="s">
        <v>1583</v>
      </c>
      <c r="N78" s="481" t="s">
        <v>1584</v>
      </c>
      <c r="O78" s="849" t="s">
        <v>1594</v>
      </c>
      <c r="P78" s="849" t="s">
        <v>1594</v>
      </c>
      <c r="Q78" s="849" t="s">
        <v>1594</v>
      </c>
      <c r="R78" s="849" t="s">
        <v>1594</v>
      </c>
      <c r="S78" s="849" t="s">
        <v>1594</v>
      </c>
    </row>
    <row r="79" spans="2:19" ht="115">
      <c r="B79" s="764"/>
      <c r="C79" s="765" t="s">
        <v>1585</v>
      </c>
      <c r="D79" s="436" t="s">
        <v>1593</v>
      </c>
      <c r="E79" s="436" t="s">
        <v>1593</v>
      </c>
      <c r="F79" s="769" t="s">
        <v>479</v>
      </c>
      <c r="G79" s="765"/>
      <c r="H79" s="771"/>
      <c r="I79" s="768" t="s">
        <v>1011</v>
      </c>
      <c r="J79" s="436" t="s">
        <v>1592</v>
      </c>
      <c r="K79" s="436"/>
      <c r="L79" s="771" t="s">
        <v>1367</v>
      </c>
      <c r="M79" s="479" t="s">
        <v>480</v>
      </c>
      <c r="N79" s="480" t="s">
        <v>481</v>
      </c>
      <c r="O79" s="849" t="s">
        <v>1594</v>
      </c>
      <c r="P79" s="849" t="s">
        <v>1594</v>
      </c>
      <c r="Q79" s="849" t="s">
        <v>1594</v>
      </c>
      <c r="R79" s="849" t="s">
        <v>1594</v>
      </c>
      <c r="S79" s="849" t="s">
        <v>1594</v>
      </c>
    </row>
  </sheetData>
  <mergeCells count="43">
    <mergeCell ref="M4:M5"/>
    <mergeCell ref="M6:M21"/>
    <mergeCell ref="M22:M42"/>
    <mergeCell ref="M43:M44"/>
    <mergeCell ref="B43:B44"/>
    <mergeCell ref="H4:L5"/>
    <mergeCell ref="B6:B14"/>
    <mergeCell ref="B15:B16"/>
    <mergeCell ref="B17:B21"/>
    <mergeCell ref="B22:B42"/>
    <mergeCell ref="C22:C31"/>
    <mergeCell ref="B4:B5"/>
    <mergeCell ref="C4:C5"/>
    <mergeCell ref="D4:D5"/>
    <mergeCell ref="F4:F5"/>
    <mergeCell ref="G4:G5"/>
    <mergeCell ref="C33:C40"/>
    <mergeCell ref="C41:C42"/>
    <mergeCell ref="S55:S56"/>
    <mergeCell ref="C60:C63"/>
    <mergeCell ref="F60:F63"/>
    <mergeCell ref="I60:I63"/>
    <mergeCell ref="O60:O63"/>
    <mergeCell ref="I55:I56"/>
    <mergeCell ref="O55:O56"/>
    <mergeCell ref="P55:P56"/>
    <mergeCell ref="Q55:Q56"/>
    <mergeCell ref="R55:R56"/>
    <mergeCell ref="C64:C69"/>
    <mergeCell ref="F64:F69"/>
    <mergeCell ref="I64:I69"/>
    <mergeCell ref="B70:B71"/>
    <mergeCell ref="C70:C71"/>
    <mergeCell ref="F70:F71"/>
    <mergeCell ref="I70:I71"/>
    <mergeCell ref="B72:B73"/>
    <mergeCell ref="C72:C73"/>
    <mergeCell ref="F72:F73"/>
    <mergeCell ref="I72:I73"/>
    <mergeCell ref="B76:B77"/>
    <mergeCell ref="C76:C77"/>
    <mergeCell ref="F76:F77"/>
    <mergeCell ref="I76:I77"/>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B1BF1-70AA-4BF7-AB41-6741B15571DD}">
  <sheetPr>
    <tabColor rgb="FF92D050"/>
    <pageSetUpPr fitToPage="1"/>
  </sheetPr>
  <dimension ref="A1:W42"/>
  <sheetViews>
    <sheetView tabSelected="1" zoomScale="90" zoomScaleNormal="90" workbookViewId="0">
      <pane xSplit="5" ySplit="9" topLeftCell="L11" activePane="bottomRight" state="frozen"/>
      <selection activeCell="A2" sqref="A2"/>
      <selection pane="topRight" activeCell="E2" sqref="E2"/>
      <selection pane="bottomLeft" activeCell="A3" sqref="A3"/>
      <selection pane="bottomRight" activeCell="E34" sqref="E34"/>
    </sheetView>
  </sheetViews>
  <sheetFormatPr defaultColWidth="5.81640625" defaultRowHeight="13"/>
  <cols>
    <col min="1" max="1" width="5.08984375" style="429" customWidth="1"/>
    <col min="2" max="2" width="14.81640625" style="257" customWidth="1"/>
    <col min="3" max="4" width="12.08984375" style="257" customWidth="1"/>
    <col min="5" max="5" width="43.54296875" style="701" customWidth="1"/>
    <col min="6" max="6" width="28.90625" style="257" customWidth="1"/>
    <col min="7" max="7" width="8.36328125" style="257" customWidth="1"/>
    <col min="8" max="9" width="10.08984375" style="257" customWidth="1"/>
    <col min="10" max="10" width="11.453125" style="257" customWidth="1"/>
    <col min="11" max="11" width="10.08984375" style="257" customWidth="1"/>
    <col min="12" max="14" width="20.54296875" style="470" customWidth="1"/>
    <col min="15" max="19" width="15.6328125" style="1059" customWidth="1"/>
    <col min="20" max="20" width="7.36328125" style="713" customWidth="1"/>
    <col min="21" max="21" width="44.81640625" style="518" customWidth="1"/>
    <col min="22" max="22" width="44.81640625" style="257" customWidth="1"/>
    <col min="23" max="16384" width="5.81640625" style="295"/>
  </cols>
  <sheetData>
    <row r="1" spans="1:23" ht="31" hidden="1">
      <c r="A1" s="294" t="s">
        <v>1669</v>
      </c>
      <c r="B1" s="296"/>
      <c r="C1" s="296"/>
      <c r="D1" s="296"/>
      <c r="E1" s="345"/>
      <c r="F1" s="296"/>
      <c r="G1" s="296"/>
      <c r="H1" s="296"/>
      <c r="I1" s="482"/>
      <c r="J1" s="482"/>
      <c r="K1" s="296" t="s">
        <v>790</v>
      </c>
      <c r="L1" s="483"/>
      <c r="M1" s="483"/>
      <c r="N1" s="483"/>
      <c r="O1" s="825"/>
      <c r="P1" s="825"/>
      <c r="Q1" s="825"/>
      <c r="R1" s="825"/>
      <c r="S1" s="825"/>
      <c r="T1" s="711"/>
      <c r="U1" s="342"/>
    </row>
    <row r="2" spans="1:23" ht="17.5" hidden="1">
      <c r="A2" s="424" t="s">
        <v>2208</v>
      </c>
      <c r="B2" s="296"/>
      <c r="C2" s="296"/>
      <c r="D2" s="296"/>
      <c r="E2" s="345"/>
      <c r="F2" s="296"/>
      <c r="G2" s="296"/>
      <c r="H2" s="296"/>
      <c r="I2" s="423"/>
      <c r="J2" s="423"/>
      <c r="K2" s="296"/>
      <c r="L2" s="483"/>
      <c r="M2" s="483"/>
      <c r="N2" s="483"/>
      <c r="O2" s="825"/>
      <c r="P2" s="825"/>
      <c r="Q2" s="825"/>
      <c r="R2" s="825"/>
      <c r="S2" s="825"/>
      <c r="T2" s="711"/>
      <c r="U2" s="342"/>
    </row>
    <row r="3" spans="1:23" ht="15.5" hidden="1">
      <c r="A3" s="437"/>
      <c r="B3" s="296"/>
      <c r="C3" s="296"/>
      <c r="D3" s="296"/>
      <c r="E3" s="345"/>
      <c r="F3" s="296"/>
      <c r="G3" s="296"/>
      <c r="H3" s="296"/>
      <c r="I3" s="423"/>
      <c r="J3" s="423"/>
      <c r="K3" s="296"/>
      <c r="L3" s="483"/>
      <c r="M3" s="483"/>
      <c r="N3" s="483"/>
      <c r="O3" s="825"/>
      <c r="P3" s="825"/>
      <c r="Q3" s="825"/>
      <c r="R3" s="825"/>
      <c r="S3" s="825"/>
      <c r="T3" s="711"/>
      <c r="U3" s="342"/>
    </row>
    <row r="4" spans="1:23" s="257" customFormat="1" ht="80.400000000000006" hidden="1" customHeight="1">
      <c r="A4" s="932" t="s">
        <v>2142</v>
      </c>
      <c r="B4" s="932"/>
      <c r="C4" s="932"/>
      <c r="D4" s="932"/>
      <c r="E4" s="932"/>
      <c r="F4" s="484"/>
      <c r="G4" s="484"/>
      <c r="H4" s="484"/>
      <c r="I4" s="484"/>
      <c r="J4" s="484"/>
      <c r="K4" s="484"/>
      <c r="L4" s="484"/>
      <c r="M4" s="484"/>
      <c r="N4" s="484"/>
      <c r="O4" s="484"/>
      <c r="P4" s="484"/>
      <c r="Q4" s="484"/>
      <c r="R4" s="484"/>
      <c r="S4" s="484"/>
      <c r="T4" s="710"/>
      <c r="U4" s="484"/>
    </row>
    <row r="5" spans="1:23" s="257" customFormat="1" ht="15.5" hidden="1">
      <c r="A5" s="932"/>
      <c r="B5" s="932"/>
      <c r="C5" s="932"/>
      <c r="D5" s="932"/>
      <c r="E5" s="932"/>
      <c r="F5" s="484"/>
      <c r="G5" s="484"/>
      <c r="H5" s="484"/>
      <c r="I5" s="484"/>
      <c r="J5" s="484"/>
      <c r="K5" s="484"/>
      <c r="L5" s="484"/>
      <c r="M5" s="484"/>
      <c r="N5" s="484"/>
      <c r="O5" s="484"/>
      <c r="P5" s="484"/>
      <c r="Q5" s="484"/>
      <c r="R5" s="484"/>
      <c r="S5" s="484"/>
      <c r="T5" s="710"/>
      <c r="U5" s="484"/>
    </row>
    <row r="6" spans="1:23" hidden="1">
      <c r="A6" s="437"/>
      <c r="B6" s="345"/>
      <c r="C6" s="345"/>
      <c r="D6" s="345"/>
      <c r="E6" s="345"/>
      <c r="F6" s="345"/>
      <c r="G6" s="345"/>
      <c r="H6" s="345"/>
      <c r="I6" s="296"/>
      <c r="J6" s="296"/>
      <c r="K6" s="345"/>
      <c r="L6" s="471"/>
      <c r="M6" s="471"/>
      <c r="N6" s="471"/>
      <c r="O6" s="1055"/>
      <c r="P6" s="1055"/>
      <c r="Q6" s="1055"/>
      <c r="R6" s="1055"/>
      <c r="S6" s="1055"/>
      <c r="T6" s="712"/>
      <c r="U6" s="345"/>
      <c r="V6" s="295"/>
    </row>
    <row r="7" spans="1:23" ht="23" hidden="1">
      <c r="A7" s="346"/>
      <c r="B7" s="345"/>
      <c r="C7" s="345"/>
      <c r="D7" s="345"/>
      <c r="E7" s="345"/>
      <c r="F7" s="345"/>
      <c r="G7" s="345"/>
      <c r="H7" s="345"/>
      <c r="I7" s="296"/>
      <c r="J7" s="296"/>
      <c r="K7" s="345"/>
      <c r="L7" s="471"/>
      <c r="M7" s="471"/>
      <c r="N7" s="471"/>
      <c r="O7" s="1055"/>
      <c r="P7" s="1055"/>
      <c r="Q7" s="1055"/>
      <c r="R7" s="1055"/>
      <c r="S7" s="1055"/>
      <c r="T7" s="712"/>
      <c r="U7" s="342"/>
    </row>
    <row r="8" spans="1:23" s="257" customFormat="1" ht="33.65" customHeight="1">
      <c r="A8" s="485"/>
      <c r="B8" s="486"/>
      <c r="C8" s="935" t="s">
        <v>1662</v>
      </c>
      <c r="D8" s="936"/>
      <c r="E8" s="933" t="s">
        <v>2045</v>
      </c>
      <c r="F8" s="934"/>
      <c r="G8" s="938" t="s">
        <v>2079</v>
      </c>
      <c r="H8" s="939"/>
      <c r="I8" s="939"/>
      <c r="J8" s="939"/>
      <c r="K8" s="940"/>
      <c r="L8" s="935" t="s">
        <v>2072</v>
      </c>
      <c r="M8" s="937"/>
      <c r="N8" s="1064"/>
      <c r="O8" s="1056" t="s">
        <v>1435</v>
      </c>
      <c r="P8" s="1057"/>
      <c r="Q8" s="1057"/>
      <c r="R8" s="1057"/>
      <c r="S8" s="1058"/>
      <c r="T8" s="714"/>
      <c r="U8" s="930" t="s">
        <v>2050</v>
      </c>
      <c r="V8" s="931"/>
    </row>
    <row r="9" spans="1:23" s="257" customFormat="1" ht="33.65" customHeight="1">
      <c r="A9" s="487" t="s">
        <v>853</v>
      </c>
      <c r="B9" s="487" t="s">
        <v>376</v>
      </c>
      <c r="C9" s="488" t="s">
        <v>815</v>
      </c>
      <c r="D9" s="488" t="s">
        <v>1362</v>
      </c>
      <c r="E9" s="676" t="s">
        <v>1946</v>
      </c>
      <c r="F9" s="489" t="s">
        <v>1945</v>
      </c>
      <c r="G9" s="490" t="s">
        <v>1985</v>
      </c>
      <c r="H9" s="490" t="s">
        <v>1586</v>
      </c>
      <c r="I9" s="490" t="s">
        <v>2058</v>
      </c>
      <c r="J9" s="689" t="s">
        <v>1860</v>
      </c>
      <c r="K9" s="487" t="s">
        <v>379</v>
      </c>
      <c r="L9" s="488" t="s">
        <v>1513</v>
      </c>
      <c r="M9" s="488" t="s">
        <v>1514</v>
      </c>
      <c r="N9" s="1065" t="s">
        <v>2212</v>
      </c>
      <c r="O9" s="491" t="s">
        <v>514</v>
      </c>
      <c r="P9" s="492" t="s">
        <v>515</v>
      </c>
      <c r="Q9" s="493" t="s">
        <v>513</v>
      </c>
      <c r="R9" s="494" t="s">
        <v>839</v>
      </c>
      <c r="S9" s="495" t="s">
        <v>840</v>
      </c>
      <c r="T9" s="715"/>
      <c r="U9" s="827" t="s">
        <v>2123</v>
      </c>
      <c r="V9" s="827" t="s">
        <v>2207</v>
      </c>
    </row>
    <row r="10" spans="1:23" ht="161">
      <c r="A10" s="496">
        <v>1</v>
      </c>
      <c r="B10" s="497" t="s">
        <v>897</v>
      </c>
      <c r="C10" s="497" t="s">
        <v>1434</v>
      </c>
      <c r="D10" s="497" t="s">
        <v>1046</v>
      </c>
      <c r="E10" s="498" t="s">
        <v>898</v>
      </c>
      <c r="F10" s="499" t="s">
        <v>1587</v>
      </c>
      <c r="G10" s="500" t="s">
        <v>2057</v>
      </c>
      <c r="H10" s="501" t="s">
        <v>1587</v>
      </c>
      <c r="I10" s="502" t="s">
        <v>2059</v>
      </c>
      <c r="J10" s="502"/>
      <c r="K10" s="703" t="s">
        <v>1367</v>
      </c>
      <c r="L10" s="511" t="s">
        <v>1493</v>
      </c>
      <c r="M10" s="511" t="s">
        <v>1494</v>
      </c>
      <c r="N10" s="1066" t="s">
        <v>2213</v>
      </c>
      <c r="O10" s="1008" t="s">
        <v>899</v>
      </c>
      <c r="P10" s="1009" t="s">
        <v>2061</v>
      </c>
      <c r="Q10" s="1010" t="s">
        <v>2062</v>
      </c>
      <c r="R10" s="1011" t="s">
        <v>2063</v>
      </c>
      <c r="S10" s="1012" t="s">
        <v>903</v>
      </c>
      <c r="T10" s="716"/>
      <c r="U10" s="828" t="s">
        <v>2182</v>
      </c>
      <c r="V10" s="852" t="s">
        <v>2185</v>
      </c>
    </row>
    <row r="11" spans="1:23" ht="50">
      <c r="A11" s="496">
        <v>2</v>
      </c>
      <c r="B11" s="497" t="s">
        <v>897</v>
      </c>
      <c r="C11" s="497" t="s">
        <v>1434</v>
      </c>
      <c r="D11" s="504" t="s">
        <v>1046</v>
      </c>
      <c r="E11" s="1061" t="s">
        <v>75</v>
      </c>
      <c r="F11" s="499" t="s">
        <v>1587</v>
      </c>
      <c r="G11" s="506" t="s">
        <v>1966</v>
      </c>
      <c r="H11" s="501" t="s">
        <v>1587</v>
      </c>
      <c r="I11" s="502" t="s">
        <v>10</v>
      </c>
      <c r="J11" s="502"/>
      <c r="K11" s="703" t="s">
        <v>1394</v>
      </c>
      <c r="L11" s="511" t="s">
        <v>1670</v>
      </c>
      <c r="M11" s="511" t="s">
        <v>1671</v>
      </c>
      <c r="N11" s="1067" t="s">
        <v>2214</v>
      </c>
      <c r="O11" s="1013" t="s">
        <v>2111</v>
      </c>
      <c r="P11" s="1013" t="s">
        <v>2111</v>
      </c>
      <c r="Q11" s="1013" t="s">
        <v>2111</v>
      </c>
      <c r="R11" s="1013" t="s">
        <v>2111</v>
      </c>
      <c r="S11" s="1013" t="s">
        <v>2111</v>
      </c>
      <c r="T11" s="716"/>
      <c r="U11" s="828" t="s">
        <v>2192</v>
      </c>
      <c r="V11" s="851" t="s">
        <v>2193</v>
      </c>
    </row>
    <row r="12" spans="1:23" ht="92">
      <c r="A12" s="496">
        <v>3</v>
      </c>
      <c r="B12" s="549" t="s">
        <v>2084</v>
      </c>
      <c r="C12" s="549" t="s">
        <v>1428</v>
      </c>
      <c r="D12" s="550" t="s">
        <v>1188</v>
      </c>
      <c r="E12" s="551" t="s">
        <v>1965</v>
      </c>
      <c r="F12" s="550" t="s">
        <v>1987</v>
      </c>
      <c r="G12" s="552" t="s">
        <v>1963</v>
      </c>
      <c r="H12" s="553" t="s">
        <v>1515</v>
      </c>
      <c r="I12" s="554" t="s">
        <v>2060</v>
      </c>
      <c r="J12" s="835" t="s">
        <v>19</v>
      </c>
      <c r="K12" s="704" t="s">
        <v>1367</v>
      </c>
      <c r="L12" s="555" t="s">
        <v>1485</v>
      </c>
      <c r="M12" s="555" t="s">
        <v>1486</v>
      </c>
      <c r="N12" s="1066" t="s">
        <v>2215</v>
      </c>
      <c r="O12" s="1014" t="s">
        <v>1390</v>
      </c>
      <c r="P12" s="1015" t="s">
        <v>1391</v>
      </c>
      <c r="Q12" s="1016" t="s">
        <v>1392</v>
      </c>
      <c r="R12" s="1017" t="s">
        <v>1392</v>
      </c>
      <c r="S12" s="1018" t="s">
        <v>1393</v>
      </c>
      <c r="T12" s="717"/>
      <c r="U12" s="829" t="s">
        <v>2110</v>
      </c>
      <c r="V12" s="850" t="s">
        <v>2186</v>
      </c>
    </row>
    <row r="13" spans="1:23" ht="50">
      <c r="A13" s="496">
        <v>4</v>
      </c>
      <c r="B13" s="549" t="s">
        <v>2109</v>
      </c>
      <c r="C13" s="565" t="s">
        <v>1593</v>
      </c>
      <c r="D13" s="565" t="s">
        <v>1593</v>
      </c>
      <c r="E13" s="1060" t="s">
        <v>1575</v>
      </c>
      <c r="F13" s="556" t="s">
        <v>1587</v>
      </c>
      <c r="G13" s="557" t="s">
        <v>1966</v>
      </c>
      <c r="H13" s="501" t="s">
        <v>1587</v>
      </c>
      <c r="I13" s="558" t="s">
        <v>10</v>
      </c>
      <c r="J13" s="826"/>
      <c r="K13" s="704" t="s">
        <v>1367</v>
      </c>
      <c r="L13" s="559" t="s">
        <v>1576</v>
      </c>
      <c r="M13" s="559" t="s">
        <v>214</v>
      </c>
      <c r="N13" s="1067" t="s">
        <v>2216</v>
      </c>
      <c r="O13" s="1013" t="s">
        <v>2111</v>
      </c>
      <c r="P13" s="1013" t="s">
        <v>2111</v>
      </c>
      <c r="Q13" s="1013" t="s">
        <v>2111</v>
      </c>
      <c r="R13" s="1013" t="s">
        <v>2111</v>
      </c>
      <c r="S13" s="1013" t="s">
        <v>2111</v>
      </c>
      <c r="T13" s="718"/>
      <c r="U13" s="829" t="s">
        <v>2124</v>
      </c>
      <c r="V13" s="851" t="s">
        <v>2211</v>
      </c>
    </row>
    <row r="14" spans="1:23" ht="50">
      <c r="A14" s="496">
        <v>5</v>
      </c>
      <c r="B14" s="560" t="s">
        <v>904</v>
      </c>
      <c r="C14" s="560" t="s">
        <v>1434</v>
      </c>
      <c r="D14" s="560" t="s">
        <v>1046</v>
      </c>
      <c r="E14" s="561" t="s">
        <v>2043</v>
      </c>
      <c r="F14" s="560" t="s">
        <v>2053</v>
      </c>
      <c r="G14" s="562" t="s">
        <v>1964</v>
      </c>
      <c r="H14" s="560" t="s">
        <v>1931</v>
      </c>
      <c r="I14" s="563" t="s">
        <v>2064</v>
      </c>
      <c r="J14" s="563"/>
      <c r="K14" s="705" t="s">
        <v>1367</v>
      </c>
      <c r="L14" s="564" t="s">
        <v>1495</v>
      </c>
      <c r="M14" s="564" t="s">
        <v>1496</v>
      </c>
      <c r="N14" s="1066" t="s">
        <v>2217</v>
      </c>
      <c r="O14" s="1019" t="s">
        <v>1801</v>
      </c>
      <c r="P14" s="1020" t="s">
        <v>1802</v>
      </c>
      <c r="Q14" s="1021" t="s">
        <v>1803</v>
      </c>
      <c r="R14" s="1022" t="s">
        <v>1804</v>
      </c>
      <c r="S14" s="1023" t="s">
        <v>1805</v>
      </c>
      <c r="T14" s="719"/>
      <c r="U14" s="830" t="s">
        <v>2112</v>
      </c>
      <c r="V14" s="850" t="s">
        <v>2186</v>
      </c>
      <c r="W14" s="295" t="s">
        <v>2085</v>
      </c>
    </row>
    <row r="15" spans="1:23" ht="37.5">
      <c r="A15" s="496">
        <v>6</v>
      </c>
      <c r="B15" s="497" t="s">
        <v>2107</v>
      </c>
      <c r="C15" s="497" t="s">
        <v>1434</v>
      </c>
      <c r="D15" s="497" t="s">
        <v>1046</v>
      </c>
      <c r="E15" s="498" t="s">
        <v>928</v>
      </c>
      <c r="F15" s="499" t="s">
        <v>1587</v>
      </c>
      <c r="G15" s="500" t="s">
        <v>1963</v>
      </c>
      <c r="H15" s="501" t="s">
        <v>1587</v>
      </c>
      <c r="I15" s="502" t="s">
        <v>2065</v>
      </c>
      <c r="J15" s="502"/>
      <c r="K15" s="703" t="s">
        <v>1367</v>
      </c>
      <c r="L15" s="512" t="s">
        <v>1501</v>
      </c>
      <c r="M15" s="512" t="s">
        <v>1502</v>
      </c>
      <c r="N15" s="1067" t="s">
        <v>2218</v>
      </c>
      <c r="O15" s="1008" t="s">
        <v>929</v>
      </c>
      <c r="P15" s="1009" t="s">
        <v>930</v>
      </c>
      <c r="Q15" s="1010" t="s">
        <v>931</v>
      </c>
      <c r="R15" s="1011" t="s">
        <v>932</v>
      </c>
      <c r="S15" s="1012" t="s">
        <v>933</v>
      </c>
      <c r="T15" s="720"/>
      <c r="U15" s="828" t="s">
        <v>2139</v>
      </c>
      <c r="V15" s="850" t="s">
        <v>2186</v>
      </c>
    </row>
    <row r="16" spans="1:23" ht="40">
      <c r="A16" s="496">
        <v>7</v>
      </c>
      <c r="B16" s="497" t="s">
        <v>2107</v>
      </c>
      <c r="C16" s="497" t="s">
        <v>1434</v>
      </c>
      <c r="D16" s="497" t="s">
        <v>1046</v>
      </c>
      <c r="E16" s="498" t="s">
        <v>934</v>
      </c>
      <c r="F16" s="499" t="s">
        <v>1587</v>
      </c>
      <c r="G16" s="500" t="s">
        <v>1963</v>
      </c>
      <c r="H16" s="501" t="s">
        <v>1587</v>
      </c>
      <c r="I16" s="502" t="s">
        <v>2066</v>
      </c>
      <c r="J16" s="502"/>
      <c r="K16" s="703" t="s">
        <v>1394</v>
      </c>
      <c r="L16" s="512" t="s">
        <v>1503</v>
      </c>
      <c r="M16" s="512" t="s">
        <v>1504</v>
      </c>
      <c r="N16" s="1066" t="s">
        <v>2219</v>
      </c>
      <c r="O16" s="1008" t="s">
        <v>935</v>
      </c>
      <c r="P16" s="1009" t="s">
        <v>9</v>
      </c>
      <c r="Q16" s="1010" t="s">
        <v>936</v>
      </c>
      <c r="R16" s="1011" t="s">
        <v>937</v>
      </c>
      <c r="S16" s="1012" t="s">
        <v>938</v>
      </c>
      <c r="T16" s="720"/>
      <c r="U16" s="828"/>
      <c r="V16" s="850" t="s">
        <v>2186</v>
      </c>
    </row>
    <row r="17" spans="1:22" ht="37.5">
      <c r="A17" s="496">
        <v>8</v>
      </c>
      <c r="B17" s="497" t="s">
        <v>2107</v>
      </c>
      <c r="C17" s="497" t="s">
        <v>1434</v>
      </c>
      <c r="D17" s="497" t="s">
        <v>1046</v>
      </c>
      <c r="E17" s="498" t="s">
        <v>939</v>
      </c>
      <c r="F17" s="499" t="s">
        <v>1587</v>
      </c>
      <c r="G17" s="500" t="s">
        <v>1963</v>
      </c>
      <c r="H17" s="501" t="s">
        <v>1587</v>
      </c>
      <c r="I17" s="502" t="s">
        <v>2067</v>
      </c>
      <c r="J17" s="502"/>
      <c r="K17" s="703" t="s">
        <v>1394</v>
      </c>
      <c r="L17" s="511" t="s">
        <v>1505</v>
      </c>
      <c r="M17" s="511" t="s">
        <v>1498</v>
      </c>
      <c r="N17" s="1067" t="s">
        <v>2220</v>
      </c>
      <c r="O17" s="1008" t="s">
        <v>940</v>
      </c>
      <c r="P17" s="1009" t="s">
        <v>941</v>
      </c>
      <c r="Q17" s="1010" t="s">
        <v>942</v>
      </c>
      <c r="R17" s="1011" t="s">
        <v>943</v>
      </c>
      <c r="S17" s="1012" t="s">
        <v>944</v>
      </c>
      <c r="T17" s="720"/>
      <c r="U17" s="828" t="s">
        <v>2113</v>
      </c>
      <c r="V17" s="852" t="s">
        <v>2191</v>
      </c>
    </row>
    <row r="18" spans="1:22" ht="92">
      <c r="A18" s="496">
        <v>9</v>
      </c>
      <c r="B18" s="497" t="s">
        <v>2106</v>
      </c>
      <c r="C18" s="497" t="s">
        <v>1434</v>
      </c>
      <c r="D18" s="504" t="s">
        <v>1157</v>
      </c>
      <c r="E18" s="498" t="s">
        <v>2114</v>
      </c>
      <c r="F18" s="497" t="s">
        <v>2054</v>
      </c>
      <c r="G18" s="507" t="s">
        <v>1964</v>
      </c>
      <c r="H18" s="501" t="s">
        <v>1931</v>
      </c>
      <c r="I18" s="502" t="s">
        <v>2108</v>
      </c>
      <c r="J18" s="836" t="s">
        <v>2205</v>
      </c>
      <c r="K18" s="703" t="s">
        <v>1367</v>
      </c>
      <c r="L18" s="511" t="s">
        <v>1482</v>
      </c>
      <c r="M18" s="511" t="s">
        <v>1483</v>
      </c>
      <c r="N18" s="1066" t="s">
        <v>2221</v>
      </c>
      <c r="O18" s="1008" t="s">
        <v>1161</v>
      </c>
      <c r="P18" s="1009" t="s">
        <v>1162</v>
      </c>
      <c r="Q18" s="1010" t="s">
        <v>1163</v>
      </c>
      <c r="R18" s="1011" t="s">
        <v>1164</v>
      </c>
      <c r="S18" s="1012" t="s">
        <v>1165</v>
      </c>
      <c r="T18" s="720"/>
      <c r="U18" s="828" t="s">
        <v>2183</v>
      </c>
      <c r="V18" s="851" t="s">
        <v>2206</v>
      </c>
    </row>
    <row r="19" spans="1:22" ht="25">
      <c r="A19" s="496">
        <v>10</v>
      </c>
      <c r="B19" s="497" t="s">
        <v>745</v>
      </c>
      <c r="C19" s="497" t="s">
        <v>1156</v>
      </c>
      <c r="D19" s="504" t="s">
        <v>1046</v>
      </c>
      <c r="E19" s="498" t="s">
        <v>2115</v>
      </c>
      <c r="F19" s="497" t="s">
        <v>2082</v>
      </c>
      <c r="G19" s="506" t="s">
        <v>1966</v>
      </c>
      <c r="H19" s="501" t="s">
        <v>1515</v>
      </c>
      <c r="I19" s="502" t="s">
        <v>2083</v>
      </c>
      <c r="J19" s="502"/>
      <c r="K19" s="703" t="s">
        <v>1367</v>
      </c>
      <c r="L19" s="513"/>
      <c r="M19" s="513"/>
      <c r="N19" s="1067" t="s">
        <v>2222</v>
      </c>
      <c r="O19" s="1008" t="s">
        <v>1176</v>
      </c>
      <c r="P19" s="1009" t="s">
        <v>1177</v>
      </c>
      <c r="Q19" s="1010" t="s">
        <v>1178</v>
      </c>
      <c r="R19" s="1011" t="s">
        <v>1179</v>
      </c>
      <c r="S19" s="1012" t="s">
        <v>1180</v>
      </c>
      <c r="T19" s="720"/>
      <c r="U19" s="828"/>
      <c r="V19" s="850" t="s">
        <v>2186</v>
      </c>
    </row>
    <row r="20" spans="1:22" ht="37.5">
      <c r="A20" s="496">
        <v>11</v>
      </c>
      <c r="B20" s="566" t="s">
        <v>745</v>
      </c>
      <c r="C20" s="566" t="s">
        <v>1434</v>
      </c>
      <c r="D20" s="567" t="s">
        <v>1188</v>
      </c>
      <c r="E20" s="568" t="s">
        <v>2116</v>
      </c>
      <c r="F20" s="566" t="s">
        <v>2055</v>
      </c>
      <c r="G20" s="569" t="s">
        <v>2069</v>
      </c>
      <c r="H20" s="570" t="s">
        <v>1515</v>
      </c>
      <c r="I20" s="571" t="s">
        <v>2080</v>
      </c>
      <c r="J20" s="571"/>
      <c r="K20" s="706" t="s">
        <v>1367</v>
      </c>
      <c r="L20" s="572" t="s">
        <v>1497</v>
      </c>
      <c r="M20" s="572" t="s">
        <v>1498</v>
      </c>
      <c r="N20" s="1066" t="s">
        <v>2223</v>
      </c>
      <c r="O20" s="1024" t="s">
        <v>1223</v>
      </c>
      <c r="P20" s="1025" t="s">
        <v>1224</v>
      </c>
      <c r="Q20" s="1026" t="s">
        <v>1225</v>
      </c>
      <c r="R20" s="1027" t="s">
        <v>1226</v>
      </c>
      <c r="S20" s="1028" t="s">
        <v>1226</v>
      </c>
      <c r="T20" s="721"/>
      <c r="U20" s="831" t="s">
        <v>2117</v>
      </c>
      <c r="V20" s="850" t="s">
        <v>2186</v>
      </c>
    </row>
    <row r="21" spans="1:22" ht="75">
      <c r="A21" s="496">
        <v>12</v>
      </c>
      <c r="B21" s="837" t="s">
        <v>745</v>
      </c>
      <c r="C21" s="566" t="s">
        <v>1434</v>
      </c>
      <c r="D21" s="567" t="s">
        <v>1188</v>
      </c>
      <c r="E21" s="838" t="s">
        <v>2184</v>
      </c>
      <c r="F21" s="670" t="s">
        <v>2189</v>
      </c>
      <c r="G21" s="839"/>
      <c r="H21" s="840"/>
      <c r="I21" s="841"/>
      <c r="J21" s="845" t="s">
        <v>2190</v>
      </c>
      <c r="K21" s="842" t="s">
        <v>1394</v>
      </c>
      <c r="L21" s="843"/>
      <c r="M21" s="843"/>
      <c r="N21" s="1067" t="s">
        <v>2224</v>
      </c>
      <c r="O21" s="1029" t="s">
        <v>1190</v>
      </c>
      <c r="P21" s="1030" t="s">
        <v>1191</v>
      </c>
      <c r="Q21" s="1031" t="s">
        <v>1192</v>
      </c>
      <c r="R21" s="1032" t="s">
        <v>1193</v>
      </c>
      <c r="S21" s="1033" t="s">
        <v>1194</v>
      </c>
      <c r="T21" s="725"/>
      <c r="U21" s="844"/>
      <c r="V21" s="851" t="s">
        <v>2210</v>
      </c>
    </row>
    <row r="22" spans="1:22" ht="69">
      <c r="A22" s="496">
        <v>13</v>
      </c>
      <c r="B22" s="579" t="s">
        <v>4</v>
      </c>
      <c r="C22" s="579" t="s">
        <v>1434</v>
      </c>
      <c r="D22" s="579" t="s">
        <v>1046</v>
      </c>
      <c r="E22" s="580" t="s">
        <v>1365</v>
      </c>
      <c r="F22" s="579" t="s">
        <v>2081</v>
      </c>
      <c r="G22" s="581" t="s">
        <v>2069</v>
      </c>
      <c r="H22" s="582" t="s">
        <v>1515</v>
      </c>
      <c r="I22" s="558" t="s">
        <v>2068</v>
      </c>
      <c r="J22" s="558"/>
      <c r="K22" s="708" t="s">
        <v>1367</v>
      </c>
      <c r="L22" s="583" t="s">
        <v>1499</v>
      </c>
      <c r="M22" s="583" t="s">
        <v>1500</v>
      </c>
      <c r="N22" s="1066" t="s">
        <v>2225</v>
      </c>
      <c r="O22" s="1034" t="s">
        <v>1376</v>
      </c>
      <c r="P22" s="1035" t="s">
        <v>1376</v>
      </c>
      <c r="Q22" s="1036" t="s">
        <v>1377</v>
      </c>
      <c r="R22" s="1037" t="s">
        <v>1378</v>
      </c>
      <c r="S22" s="1038" t="s">
        <v>1379</v>
      </c>
      <c r="T22" s="722"/>
      <c r="U22" s="832" t="s">
        <v>2204</v>
      </c>
      <c r="V22" s="851" t="s">
        <v>2188</v>
      </c>
    </row>
    <row r="23" spans="1:22" ht="92">
      <c r="A23" s="496">
        <v>14</v>
      </c>
      <c r="B23" s="584" t="s">
        <v>4</v>
      </c>
      <c r="C23" s="565" t="s">
        <v>1593</v>
      </c>
      <c r="D23" s="565" t="s">
        <v>1593</v>
      </c>
      <c r="E23" s="586" t="s">
        <v>1572</v>
      </c>
      <c r="F23" s="584"/>
      <c r="G23" s="557" t="s">
        <v>1966</v>
      </c>
      <c r="H23" s="584" t="s">
        <v>1011</v>
      </c>
      <c r="I23" s="585"/>
      <c r="J23" s="585"/>
      <c r="K23" s="707" t="s">
        <v>1367</v>
      </c>
      <c r="L23" s="587" t="s">
        <v>1573</v>
      </c>
      <c r="M23" s="588" t="s">
        <v>1574</v>
      </c>
      <c r="N23" s="1067" t="s">
        <v>2226</v>
      </c>
      <c r="O23" s="1039" t="s">
        <v>1594</v>
      </c>
      <c r="P23" s="1039" t="s">
        <v>1594</v>
      </c>
      <c r="Q23" s="1039" t="s">
        <v>1594</v>
      </c>
      <c r="R23" s="1039" t="s">
        <v>1594</v>
      </c>
      <c r="S23" s="1039" t="s">
        <v>1594</v>
      </c>
      <c r="T23" s="723"/>
      <c r="U23" s="833" t="s">
        <v>2118</v>
      </c>
      <c r="V23" s="851" t="s">
        <v>2188</v>
      </c>
    </row>
    <row r="24" spans="1:22" ht="69">
      <c r="A24" s="496">
        <v>15</v>
      </c>
      <c r="B24" s="579" t="s">
        <v>2086</v>
      </c>
      <c r="C24" s="579" t="s">
        <v>1156</v>
      </c>
      <c r="D24" s="589" t="s">
        <v>1188</v>
      </c>
      <c r="E24" s="580" t="s">
        <v>362</v>
      </c>
      <c r="F24" s="579" t="s">
        <v>1280</v>
      </c>
      <c r="G24" s="590" t="s">
        <v>1963</v>
      </c>
      <c r="H24" s="591" t="s">
        <v>1515</v>
      </c>
      <c r="I24" s="558" t="s">
        <v>2070</v>
      </c>
      <c r="J24" s="558"/>
      <c r="K24" s="708" t="s">
        <v>1367</v>
      </c>
      <c r="L24" s="583" t="s">
        <v>1506</v>
      </c>
      <c r="M24" s="583" t="s">
        <v>1507</v>
      </c>
      <c r="N24" s="1066" t="s">
        <v>2227</v>
      </c>
      <c r="O24" s="1034" t="s">
        <v>2131</v>
      </c>
      <c r="P24" s="1035" t="s">
        <v>9</v>
      </c>
      <c r="Q24" s="1036" t="s">
        <v>2132</v>
      </c>
      <c r="R24" s="1037" t="s">
        <v>2133</v>
      </c>
      <c r="S24" s="1038" t="s">
        <v>9</v>
      </c>
      <c r="T24" s="722"/>
      <c r="U24" s="832" t="s">
        <v>2203</v>
      </c>
      <c r="V24" s="853" t="s">
        <v>2194</v>
      </c>
    </row>
    <row r="25" spans="1:22" ht="90">
      <c r="A25" s="496">
        <v>16</v>
      </c>
      <c r="B25" s="573" t="s">
        <v>46</v>
      </c>
      <c r="C25" s="573" t="s">
        <v>1156</v>
      </c>
      <c r="D25" s="573" t="s">
        <v>1046</v>
      </c>
      <c r="E25" s="574" t="s">
        <v>950</v>
      </c>
      <c r="F25" s="573" t="s">
        <v>1316</v>
      </c>
      <c r="G25" s="575" t="s">
        <v>1963</v>
      </c>
      <c r="H25" s="576" t="s">
        <v>1931</v>
      </c>
      <c r="I25" s="577" t="s">
        <v>2071</v>
      </c>
      <c r="J25" s="577"/>
      <c r="K25" s="709" t="s">
        <v>1394</v>
      </c>
      <c r="L25" s="578"/>
      <c r="M25" s="578"/>
      <c r="N25" s="1067" t="s">
        <v>2228</v>
      </c>
      <c r="O25" s="1040" t="s">
        <v>951</v>
      </c>
      <c r="P25" s="1041" t="s">
        <v>1899</v>
      </c>
      <c r="Q25" s="1042" t="s">
        <v>1900</v>
      </c>
      <c r="R25" s="1043" t="s">
        <v>1901</v>
      </c>
      <c r="S25" s="1044" t="s">
        <v>1902</v>
      </c>
      <c r="T25" s="724"/>
      <c r="U25" s="834" t="s">
        <v>2140</v>
      </c>
      <c r="V25" s="851" t="s">
        <v>2202</v>
      </c>
    </row>
    <row r="26" spans="1:22" ht="138">
      <c r="A26" s="496">
        <v>17</v>
      </c>
      <c r="B26" s="497" t="s">
        <v>15</v>
      </c>
      <c r="C26" s="497" t="s">
        <v>1434</v>
      </c>
      <c r="D26" s="508" t="s">
        <v>1188</v>
      </c>
      <c r="E26" s="1062" t="s">
        <v>1685</v>
      </c>
      <c r="F26" s="497" t="s">
        <v>1685</v>
      </c>
      <c r="G26" s="507" t="s">
        <v>1964</v>
      </c>
      <c r="H26" s="503" t="s">
        <v>1515</v>
      </c>
      <c r="I26" s="502" t="s">
        <v>2073</v>
      </c>
      <c r="J26" s="502"/>
      <c r="K26" s="703" t="s">
        <v>1367</v>
      </c>
      <c r="L26" s="511" t="s">
        <v>1491</v>
      </c>
      <c r="M26" s="511" t="s">
        <v>1492</v>
      </c>
      <c r="N26" s="1066" t="s">
        <v>2229</v>
      </c>
      <c r="O26" s="1008"/>
      <c r="P26" s="1009"/>
      <c r="Q26" s="1010"/>
      <c r="R26" s="1011"/>
      <c r="S26" s="1012"/>
      <c r="T26" s="720"/>
      <c r="U26" s="828" t="s">
        <v>2201</v>
      </c>
      <c r="V26" s="851" t="s">
        <v>2195</v>
      </c>
    </row>
    <row r="27" spans="1:22" ht="150">
      <c r="A27" s="496">
        <v>18</v>
      </c>
      <c r="B27" s="497" t="s">
        <v>16</v>
      </c>
      <c r="C27" s="504" t="s">
        <v>1434</v>
      </c>
      <c r="D27" s="504" t="s">
        <v>1046</v>
      </c>
      <c r="E27" s="510" t="s">
        <v>1967</v>
      </c>
      <c r="F27" s="504" t="s">
        <v>2056</v>
      </c>
      <c r="G27" s="581" t="s">
        <v>2069</v>
      </c>
      <c r="H27" s="503" t="s">
        <v>1489</v>
      </c>
      <c r="I27" s="502" t="s">
        <v>2074</v>
      </c>
      <c r="J27" s="502"/>
      <c r="K27" s="703" t="s">
        <v>1367</v>
      </c>
      <c r="L27" s="511"/>
      <c r="M27" s="511"/>
      <c r="N27" s="1067" t="s">
        <v>2230</v>
      </c>
      <c r="O27" s="1045" t="s">
        <v>1904</v>
      </c>
      <c r="P27" s="1046" t="s">
        <v>9</v>
      </c>
      <c r="Q27" s="1047" t="s">
        <v>1909</v>
      </c>
      <c r="R27" s="1048" t="s">
        <v>1910</v>
      </c>
      <c r="S27" s="1049" t="s">
        <v>9</v>
      </c>
      <c r="T27" s="725"/>
      <c r="U27" s="828"/>
      <c r="V27" s="850" t="s">
        <v>2186</v>
      </c>
    </row>
    <row r="28" spans="1:22" ht="14">
      <c r="A28" s="496">
        <v>19</v>
      </c>
      <c r="B28" s="497" t="s">
        <v>1898</v>
      </c>
      <c r="C28" s="837"/>
      <c r="D28" s="837"/>
      <c r="E28" s="838"/>
      <c r="F28" s="837"/>
      <c r="G28" s="839"/>
      <c r="H28" s="846"/>
      <c r="I28" s="502"/>
      <c r="J28" s="502"/>
      <c r="K28" s="703"/>
      <c r="L28" s="511"/>
      <c r="M28" s="511"/>
      <c r="N28" s="1066" t="s">
        <v>2231</v>
      </c>
      <c r="O28" s="1029"/>
      <c r="P28" s="1030"/>
      <c r="Q28" s="1031"/>
      <c r="R28" s="1032"/>
      <c r="S28" s="1033"/>
      <c r="T28" s="725"/>
      <c r="U28" s="828"/>
      <c r="V28" s="850" t="s">
        <v>2186</v>
      </c>
    </row>
    <row r="29" spans="1:22" ht="50">
      <c r="A29" s="496">
        <v>20</v>
      </c>
      <c r="B29" s="497" t="s">
        <v>2121</v>
      </c>
      <c r="C29" s="565" t="s">
        <v>1593</v>
      </c>
      <c r="D29" s="565" t="s">
        <v>1593</v>
      </c>
      <c r="E29" s="498" t="s">
        <v>1528</v>
      </c>
      <c r="F29" s="592" t="s">
        <v>2120</v>
      </c>
      <c r="G29" s="506" t="s">
        <v>1966</v>
      </c>
      <c r="H29" s="593" t="s">
        <v>1931</v>
      </c>
      <c r="I29" s="503" t="s">
        <v>10</v>
      </c>
      <c r="J29" s="503"/>
      <c r="K29" s="702" t="s">
        <v>1588</v>
      </c>
      <c r="L29" s="511" t="s">
        <v>1529</v>
      </c>
      <c r="M29" s="511" t="s">
        <v>1530</v>
      </c>
      <c r="N29" s="1067" t="s">
        <v>2232</v>
      </c>
      <c r="O29" s="1039" t="s">
        <v>1594</v>
      </c>
      <c r="P29" s="1039" t="s">
        <v>1594</v>
      </c>
      <c r="Q29" s="1039" t="s">
        <v>1594</v>
      </c>
      <c r="R29" s="1039" t="s">
        <v>1594</v>
      </c>
      <c r="S29" s="1039" t="s">
        <v>1594</v>
      </c>
      <c r="T29" s="726"/>
      <c r="U29" s="828" t="s">
        <v>2122</v>
      </c>
      <c r="V29" s="852" t="s">
        <v>2196</v>
      </c>
    </row>
    <row r="30" spans="1:22" ht="200">
      <c r="A30" s="496">
        <v>21</v>
      </c>
      <c r="B30" s="497" t="s">
        <v>48</v>
      </c>
      <c r="C30" s="497" t="s">
        <v>1045</v>
      </c>
      <c r="D30" s="504" t="s">
        <v>1046</v>
      </c>
      <c r="E30" s="498" t="s">
        <v>29</v>
      </c>
      <c r="F30" s="497" t="s">
        <v>2042</v>
      </c>
      <c r="G30" s="581" t="s">
        <v>2069</v>
      </c>
      <c r="H30" s="503" t="s">
        <v>1489</v>
      </c>
      <c r="I30" s="502" t="s">
        <v>2076</v>
      </c>
      <c r="J30" s="502"/>
      <c r="K30" s="703" t="s">
        <v>1394</v>
      </c>
      <c r="L30" s="511" t="s">
        <v>1487</v>
      </c>
      <c r="M30" s="511" t="s">
        <v>1488</v>
      </c>
      <c r="N30" s="1066" t="s">
        <v>2233</v>
      </c>
      <c r="O30" s="1008" t="s">
        <v>1996</v>
      </c>
      <c r="P30" s="1009" t="s">
        <v>1997</v>
      </c>
      <c r="Q30" s="1010" t="s">
        <v>1998</v>
      </c>
      <c r="R30" s="1011" t="s">
        <v>1999</v>
      </c>
      <c r="S30" s="1012" t="s">
        <v>2051</v>
      </c>
      <c r="T30" s="720"/>
      <c r="U30" s="828"/>
      <c r="V30" s="850" t="s">
        <v>2186</v>
      </c>
    </row>
    <row r="31" spans="1:22" ht="160">
      <c r="A31" s="496">
        <v>22</v>
      </c>
      <c r="B31" s="497" t="s">
        <v>48</v>
      </c>
      <c r="C31" s="497" t="s">
        <v>1434</v>
      </c>
      <c r="D31" s="497" t="s">
        <v>1046</v>
      </c>
      <c r="E31" s="498" t="s">
        <v>74</v>
      </c>
      <c r="F31" s="497" t="s">
        <v>2041</v>
      </c>
      <c r="G31" s="581" t="s">
        <v>2069</v>
      </c>
      <c r="H31" s="503" t="s">
        <v>1931</v>
      </c>
      <c r="I31" s="502" t="s">
        <v>2075</v>
      </c>
      <c r="J31" s="502"/>
      <c r="K31" s="703" t="s">
        <v>1588</v>
      </c>
      <c r="L31" s="511" t="s">
        <v>666</v>
      </c>
      <c r="M31" s="511" t="s">
        <v>667</v>
      </c>
      <c r="N31" s="1067" t="s">
        <v>2234</v>
      </c>
      <c r="O31" s="1008" t="s">
        <v>2001</v>
      </c>
      <c r="P31" s="1009" t="s">
        <v>2002</v>
      </c>
      <c r="Q31" s="1010" t="s">
        <v>2003</v>
      </c>
      <c r="R31" s="1011" t="s">
        <v>2004</v>
      </c>
      <c r="S31" s="1012" t="s">
        <v>2143</v>
      </c>
      <c r="T31" s="720"/>
      <c r="U31" s="828"/>
      <c r="V31" s="851" t="s">
        <v>2197</v>
      </c>
    </row>
    <row r="32" spans="1:22" ht="81">
      <c r="A32" s="496">
        <v>23</v>
      </c>
      <c r="B32" s="497" t="s">
        <v>5</v>
      </c>
      <c r="C32" s="497" t="s">
        <v>1045</v>
      </c>
      <c r="D32" s="509" t="s">
        <v>1188</v>
      </c>
      <c r="E32" s="498" t="s">
        <v>1673</v>
      </c>
      <c r="F32" s="497" t="s">
        <v>2101</v>
      </c>
      <c r="G32" s="581" t="s">
        <v>2069</v>
      </c>
      <c r="H32" s="503" t="s">
        <v>19</v>
      </c>
      <c r="I32" s="502" t="s">
        <v>2078</v>
      </c>
      <c r="J32" s="502"/>
      <c r="K32" s="703" t="s">
        <v>1367</v>
      </c>
      <c r="L32" s="511" t="s">
        <v>1510</v>
      </c>
      <c r="M32" s="511" t="s">
        <v>1511</v>
      </c>
      <c r="N32" s="1066" t="s">
        <v>2235</v>
      </c>
      <c r="O32" s="778" t="s">
        <v>969</v>
      </c>
      <c r="P32" s="787" t="s">
        <v>970</v>
      </c>
      <c r="Q32" s="788" t="s">
        <v>971</v>
      </c>
      <c r="R32" s="789" t="s">
        <v>972</v>
      </c>
      <c r="S32" s="790" t="s">
        <v>973</v>
      </c>
      <c r="T32" s="720"/>
      <c r="U32" s="828" t="s">
        <v>2200</v>
      </c>
      <c r="V32" s="850" t="s">
        <v>2186</v>
      </c>
    </row>
    <row r="33" spans="1:22" ht="50">
      <c r="A33" s="496">
        <v>24</v>
      </c>
      <c r="B33" s="497" t="s">
        <v>5</v>
      </c>
      <c r="C33" s="497" t="s">
        <v>1045</v>
      </c>
      <c r="D33" s="509" t="s">
        <v>1188</v>
      </c>
      <c r="E33" s="498" t="s">
        <v>1676</v>
      </c>
      <c r="F33" s="497" t="s">
        <v>2102</v>
      </c>
      <c r="G33" s="581" t="s">
        <v>2069</v>
      </c>
      <c r="H33" s="503" t="s">
        <v>19</v>
      </c>
      <c r="I33" s="502" t="s">
        <v>2077</v>
      </c>
      <c r="J33" s="845" t="s">
        <v>19</v>
      </c>
      <c r="K33" s="703" t="s">
        <v>1367</v>
      </c>
      <c r="L33" s="511" t="s">
        <v>1509</v>
      </c>
      <c r="M33" s="511" t="s">
        <v>1508</v>
      </c>
      <c r="N33" s="1067" t="s">
        <v>2236</v>
      </c>
      <c r="O33" s="778" t="s">
        <v>2173</v>
      </c>
      <c r="P33" s="787" t="s">
        <v>2174</v>
      </c>
      <c r="Q33" s="788" t="s">
        <v>2175</v>
      </c>
      <c r="R33" s="1050" t="s">
        <v>2176</v>
      </c>
      <c r="S33" s="824" t="s">
        <v>2177</v>
      </c>
      <c r="T33" s="720"/>
      <c r="U33" s="828" t="s">
        <v>2187</v>
      </c>
      <c r="V33" s="850" t="s">
        <v>2186</v>
      </c>
    </row>
    <row r="34" spans="1:22" ht="40">
      <c r="A34" s="496">
        <v>25</v>
      </c>
      <c r="B34" s="497" t="s">
        <v>5</v>
      </c>
      <c r="C34" s="504" t="s">
        <v>1434</v>
      </c>
      <c r="D34" s="673" t="s">
        <v>1188</v>
      </c>
      <c r="E34" s="510" t="s">
        <v>1674</v>
      </c>
      <c r="F34" s="257" t="s">
        <v>2103</v>
      </c>
      <c r="G34" s="728" t="s">
        <v>1966</v>
      </c>
      <c r="H34" s="504" t="s">
        <v>1930</v>
      </c>
      <c r="I34" s="668"/>
      <c r="J34" s="668"/>
      <c r="K34" s="440" t="s">
        <v>1367</v>
      </c>
      <c r="N34" s="1066" t="s">
        <v>2237</v>
      </c>
      <c r="O34" s="1045" t="s">
        <v>2089</v>
      </c>
      <c r="P34" s="1051" t="s">
        <v>2164</v>
      </c>
      <c r="Q34" s="1052" t="s">
        <v>2165</v>
      </c>
      <c r="R34" s="1053" t="s">
        <v>2166</v>
      </c>
      <c r="S34" s="1054" t="s">
        <v>2093</v>
      </c>
      <c r="T34" s="727"/>
      <c r="U34" s="518" t="s">
        <v>2198</v>
      </c>
      <c r="V34" s="850" t="s">
        <v>2186</v>
      </c>
    </row>
    <row r="35" spans="1:22" ht="37.5">
      <c r="A35" s="496">
        <v>26</v>
      </c>
      <c r="B35" s="497" t="s">
        <v>5</v>
      </c>
      <c r="C35" s="504" t="s">
        <v>1434</v>
      </c>
      <c r="D35" s="673" t="s">
        <v>1188</v>
      </c>
      <c r="E35" s="1063" t="s">
        <v>1675</v>
      </c>
      <c r="F35" s="257" t="s">
        <v>2105</v>
      </c>
      <c r="G35" s="728" t="s">
        <v>1966</v>
      </c>
      <c r="H35" s="504" t="s">
        <v>1678</v>
      </c>
      <c r="I35" s="668"/>
      <c r="J35" s="668"/>
      <c r="K35" s="440" t="s">
        <v>1367</v>
      </c>
      <c r="N35" s="1067" t="s">
        <v>2238</v>
      </c>
      <c r="O35" s="778" t="s">
        <v>2167</v>
      </c>
      <c r="P35" s="787"/>
      <c r="Q35" s="788" t="s">
        <v>2168</v>
      </c>
      <c r="R35" s="789"/>
      <c r="S35" s="790" t="s">
        <v>2096</v>
      </c>
      <c r="T35" s="727"/>
      <c r="U35" s="518" t="s">
        <v>2199</v>
      </c>
      <c r="V35" s="850" t="s">
        <v>2186</v>
      </c>
    </row>
    <row r="36" spans="1:22">
      <c r="B36" s="497"/>
    </row>
    <row r="37" spans="1:22">
      <c r="B37" s="837"/>
    </row>
    <row r="38" spans="1:22">
      <c r="B38" s="837"/>
    </row>
    <row r="41" spans="1:22">
      <c r="T41" s="854"/>
      <c r="U41" s="855"/>
    </row>
    <row r="42" spans="1:22">
      <c r="T42" s="854"/>
      <c r="U42" s="855"/>
    </row>
  </sheetData>
  <autoFilter ref="A9:V35" xr:uid="{4F7262BA-AD2C-4A7A-8762-81F8F0761DD2}"/>
  <sortState xmlns:xlrd2="http://schemas.microsoft.com/office/spreadsheetml/2017/richdata2" ref="A10:U34">
    <sortCondition ref="B10:B34"/>
  </sortState>
  <mergeCells count="7">
    <mergeCell ref="U8:V8"/>
    <mergeCell ref="A4:E5"/>
    <mergeCell ref="E8:F8"/>
    <mergeCell ref="C8:D8"/>
    <mergeCell ref="O8:S8"/>
    <mergeCell ref="L8:M8"/>
    <mergeCell ref="G8:K8"/>
  </mergeCells>
  <phoneticPr fontId="107" type="noConversion"/>
  <pageMargins left="0" right="0" top="0.25" bottom="0.25" header="0.05" footer="0.05"/>
  <pageSetup paperSize="8" scale="12" fitToHeight="0" orientation="landscape"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39794EB0-D691-44DE-AD94-7707CDCE91A4}">
          <x14:formula1>
            <xm:f>Dropdown!$C$1:$C$4</xm:f>
          </x14:formula1>
          <xm:sqref>C10:C35</xm:sqref>
        </x14:dataValidation>
        <x14:dataValidation type="list" allowBlank="1" showInputMessage="1" showErrorMessage="1" xr:uid="{F6DF497D-6AAA-4B95-96B2-9F1C08FF4785}">
          <x14:formula1>
            <xm:f>Dropdown!$E$1:$E$7</xm:f>
          </x14:formula1>
          <xm:sqref>D10:D35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sheetPr>
  <dimension ref="A1:T65"/>
  <sheetViews>
    <sheetView zoomScale="71" zoomScaleNormal="80" workbookViewId="0">
      <pane xSplit="4" ySplit="8" topLeftCell="E16" activePane="bottomRight" state="frozen"/>
      <selection pane="topRight" activeCell="E1" sqref="E1"/>
      <selection pane="bottomLeft" activeCell="A10" sqref="A10"/>
      <selection pane="bottomRight" activeCell="D21" sqref="D21"/>
    </sheetView>
  </sheetViews>
  <sheetFormatPr defaultColWidth="8.90625" defaultRowHeight="11.5"/>
  <cols>
    <col min="1" max="1" width="19.08984375" style="517" customWidth="1"/>
    <col min="2" max="3" width="19.08984375" style="534" customWidth="1"/>
    <col min="4" max="4" width="48.1796875" style="428" customWidth="1"/>
    <col min="5" max="5" width="48.1796875" style="341" customWidth="1"/>
    <col min="6" max="6" width="11.6328125" style="534" customWidth="1"/>
    <col min="7" max="8" width="11.6328125" style="341" customWidth="1"/>
    <col min="9" max="9" width="11.6328125" style="534" customWidth="1"/>
    <col min="10" max="10" width="13.08984375" style="534" customWidth="1"/>
    <col min="11" max="15" width="25.453125" style="534" customWidth="1"/>
    <col min="16" max="16" width="7.90625" style="517" customWidth="1"/>
    <col min="17" max="17" width="33.90625" style="734" customWidth="1"/>
    <col min="18" max="20" width="33.90625" style="735" customWidth="1"/>
    <col min="21" max="16384" width="8.90625" style="517"/>
  </cols>
  <sheetData>
    <row r="1" spans="1:20" ht="25">
      <c r="A1" s="597" t="s">
        <v>2136</v>
      </c>
      <c r="B1" s="425"/>
      <c r="C1" s="425"/>
    </row>
    <row r="2" spans="1:20" ht="17.5">
      <c r="A2" s="594" t="s">
        <v>1960</v>
      </c>
      <c r="B2" s="425"/>
      <c r="C2" s="425"/>
      <c r="Q2" s="736"/>
    </row>
    <row r="3" spans="1:20">
      <c r="A3" s="598"/>
      <c r="B3" s="425"/>
      <c r="C3" s="425"/>
    </row>
    <row r="4" spans="1:20" ht="161.4" hidden="1" customHeight="1">
      <c r="A4" s="941" t="s">
        <v>2135</v>
      </c>
      <c r="B4" s="942"/>
      <c r="C4" s="942"/>
      <c r="D4" s="942"/>
      <c r="E4" s="942"/>
      <c r="F4" s="942"/>
      <c r="G4" s="942"/>
      <c r="H4" s="942"/>
      <c r="I4" s="942"/>
      <c r="J4" s="942"/>
      <c r="K4" s="663"/>
      <c r="L4" s="663"/>
      <c r="M4" s="663"/>
      <c r="N4" s="663"/>
      <c r="O4" s="664"/>
    </row>
    <row r="5" spans="1:20" ht="13" hidden="1" thickBot="1">
      <c r="A5" s="665"/>
      <c r="B5" s="666"/>
      <c r="C5" s="666"/>
      <c r="D5" s="666"/>
      <c r="E5" s="666"/>
      <c r="F5" s="666"/>
      <c r="G5" s="666"/>
      <c r="H5" s="666"/>
      <c r="I5" s="666"/>
      <c r="J5" s="666"/>
      <c r="K5" s="666"/>
      <c r="L5" s="666"/>
      <c r="M5" s="666"/>
      <c r="N5" s="666"/>
      <c r="O5" s="667"/>
    </row>
    <row r="6" spans="1:20" ht="15.5">
      <c r="A6" s="254"/>
      <c r="B6" s="426"/>
      <c r="C6" s="426"/>
      <c r="D6" s="429"/>
      <c r="E6" s="295"/>
      <c r="F6" s="272"/>
      <c r="G6" s="295"/>
      <c r="H6" s="295"/>
      <c r="I6" s="272"/>
      <c r="J6" s="272"/>
      <c r="K6" s="272"/>
      <c r="L6" s="272"/>
      <c r="M6" s="272"/>
      <c r="N6" s="272"/>
      <c r="O6" s="272"/>
    </row>
    <row r="7" spans="1:20" ht="42.65" customHeight="1">
      <c r="A7" s="427"/>
      <c r="B7" s="944" t="s">
        <v>1662</v>
      </c>
      <c r="C7" s="945"/>
      <c r="D7" s="946" t="s">
        <v>2045</v>
      </c>
      <c r="E7" s="947"/>
      <c r="F7" s="948" t="s">
        <v>2079</v>
      </c>
      <c r="G7" s="949"/>
      <c r="H7" s="949"/>
      <c r="I7" s="949"/>
      <c r="J7" s="341"/>
      <c r="K7" s="950" t="s">
        <v>1435</v>
      </c>
      <c r="L7" s="951"/>
      <c r="M7" s="951"/>
      <c r="N7" s="951"/>
      <c r="O7" s="952"/>
      <c r="Q7" s="943" t="s">
        <v>2050</v>
      </c>
      <c r="R7" s="943"/>
      <c r="S7" s="943"/>
      <c r="T7" s="943"/>
    </row>
    <row r="8" spans="1:20" s="677" customFormat="1" ht="42.65" customHeight="1">
      <c r="A8" s="678" t="s">
        <v>376</v>
      </c>
      <c r="B8" s="679" t="s">
        <v>815</v>
      </c>
      <c r="C8" s="679" t="s">
        <v>1362</v>
      </c>
      <c r="D8" s="680" t="s">
        <v>1946</v>
      </c>
      <c r="E8" s="680" t="s">
        <v>1945</v>
      </c>
      <c r="F8" s="688" t="s">
        <v>1661</v>
      </c>
      <c r="G8" s="688" t="s">
        <v>2137</v>
      </c>
      <c r="H8" s="688" t="s">
        <v>2138</v>
      </c>
      <c r="I8" s="689" t="s">
        <v>1658</v>
      </c>
      <c r="J8" s="681" t="s">
        <v>377</v>
      </c>
      <c r="K8" s="682" t="s">
        <v>514</v>
      </c>
      <c r="L8" s="683" t="s">
        <v>515</v>
      </c>
      <c r="M8" s="684" t="s">
        <v>513</v>
      </c>
      <c r="N8" s="596" t="s">
        <v>839</v>
      </c>
      <c r="O8" s="685" t="s">
        <v>840</v>
      </c>
      <c r="P8" s="340"/>
      <c r="Q8" s="686" t="s">
        <v>2046</v>
      </c>
      <c r="R8" s="687" t="s">
        <v>2047</v>
      </c>
      <c r="S8" s="686" t="s">
        <v>2048</v>
      </c>
      <c r="T8" s="687" t="s">
        <v>2049</v>
      </c>
    </row>
    <row r="9" spans="1:20" ht="62.5">
      <c r="A9" s="697" t="s">
        <v>6</v>
      </c>
      <c r="B9" s="504" t="s">
        <v>1156</v>
      </c>
      <c r="C9" s="504" t="s">
        <v>1046</v>
      </c>
      <c r="D9" s="668"/>
      <c r="E9" s="668" t="s">
        <v>1382</v>
      </c>
      <c r="F9" s="504" t="s">
        <v>1929</v>
      </c>
      <c r="G9" s="504"/>
      <c r="H9" s="504"/>
      <c r="I9" s="690"/>
      <c r="J9" s="691" t="s">
        <v>1395</v>
      </c>
      <c r="K9" s="600" t="s">
        <v>1396</v>
      </c>
      <c r="L9" s="601" t="s">
        <v>1397</v>
      </c>
      <c r="M9" s="602" t="s">
        <v>1398</v>
      </c>
      <c r="N9" s="603" t="s">
        <v>1399</v>
      </c>
      <c r="O9" s="604" t="s">
        <v>1400</v>
      </c>
      <c r="P9" s="427"/>
      <c r="Q9" s="737" t="s">
        <v>1013</v>
      </c>
      <c r="R9" s="738"/>
      <c r="S9" s="737"/>
      <c r="T9" s="739"/>
    </row>
    <row r="10" spans="1:20" ht="69">
      <c r="A10" s="697" t="s">
        <v>6</v>
      </c>
      <c r="B10" s="504" t="s">
        <v>1156</v>
      </c>
      <c r="C10" s="504" t="s">
        <v>1046</v>
      </c>
      <c r="D10" s="668"/>
      <c r="E10" s="668" t="s">
        <v>1383</v>
      </c>
      <c r="F10" s="504" t="s">
        <v>1929</v>
      </c>
      <c r="G10" s="504"/>
      <c r="H10" s="504"/>
      <c r="I10" s="690"/>
      <c r="J10" s="691" t="s">
        <v>1421</v>
      </c>
      <c r="K10" s="600" t="s">
        <v>1401</v>
      </c>
      <c r="L10" s="601" t="s">
        <v>1402</v>
      </c>
      <c r="M10" s="602" t="s">
        <v>1403</v>
      </c>
      <c r="N10" s="603" t="s">
        <v>1404</v>
      </c>
      <c r="O10" s="604" t="s">
        <v>1405</v>
      </c>
      <c r="P10" s="427"/>
      <c r="Q10" s="737" t="s">
        <v>1016</v>
      </c>
      <c r="R10" s="738"/>
      <c r="S10" s="737"/>
      <c r="T10" s="740"/>
    </row>
    <row r="11" spans="1:20" ht="62.5">
      <c r="A11" s="697" t="s">
        <v>6</v>
      </c>
      <c r="B11" s="504" t="s">
        <v>1156</v>
      </c>
      <c r="C11" s="504" t="s">
        <v>1046</v>
      </c>
      <c r="D11" s="668"/>
      <c r="E11" s="668" t="s">
        <v>1384</v>
      </c>
      <c r="F11" s="504" t="s">
        <v>1929</v>
      </c>
      <c r="G11" s="504"/>
      <c r="H11" s="504"/>
      <c r="I11" s="690"/>
      <c r="J11" s="691" t="s">
        <v>1422</v>
      </c>
      <c r="K11" s="600" t="s">
        <v>1406</v>
      </c>
      <c r="L11" s="601" t="s">
        <v>1407</v>
      </c>
      <c r="M11" s="602" t="s">
        <v>1408</v>
      </c>
      <c r="N11" s="603" t="s">
        <v>1409</v>
      </c>
      <c r="O11" s="604" t="s">
        <v>1410</v>
      </c>
      <c r="P11" s="427"/>
      <c r="Q11" s="737" t="s">
        <v>1020</v>
      </c>
      <c r="R11" s="738"/>
      <c r="S11" s="737"/>
      <c r="T11" s="740"/>
    </row>
    <row r="12" spans="1:20" ht="62.5">
      <c r="A12" s="697" t="s">
        <v>6</v>
      </c>
      <c r="B12" s="504" t="s">
        <v>1156</v>
      </c>
      <c r="C12" s="504" t="s">
        <v>1046</v>
      </c>
      <c r="D12" s="668"/>
      <c r="E12" s="668" t="s">
        <v>1385</v>
      </c>
      <c r="F12" s="504" t="s">
        <v>1929</v>
      </c>
      <c r="G12" s="504"/>
      <c r="H12" s="504"/>
      <c r="I12" s="690"/>
      <c r="J12" s="691" t="s">
        <v>1423</v>
      </c>
      <c r="K12" s="600" t="s">
        <v>1411</v>
      </c>
      <c r="L12" s="601" t="s">
        <v>1412</v>
      </c>
      <c r="M12" s="602" t="s">
        <v>1413</v>
      </c>
      <c r="N12" s="603" t="s">
        <v>1414</v>
      </c>
      <c r="O12" s="604" t="s">
        <v>1415</v>
      </c>
      <c r="P12" s="427"/>
      <c r="Q12" s="737"/>
      <c r="R12" s="738"/>
      <c r="S12" s="737"/>
      <c r="T12" s="740"/>
    </row>
    <row r="13" spans="1:20" ht="92">
      <c r="A13" s="697" t="s">
        <v>6</v>
      </c>
      <c r="B13" s="504" t="s">
        <v>1081</v>
      </c>
      <c r="C13" s="504" t="s">
        <v>1082</v>
      </c>
      <c r="D13" s="668"/>
      <c r="E13" s="668" t="s">
        <v>1386</v>
      </c>
      <c r="F13" s="504" t="s">
        <v>1929</v>
      </c>
      <c r="G13" s="504"/>
      <c r="H13" s="504"/>
      <c r="I13" s="690"/>
      <c r="J13" s="691" t="s">
        <v>1424</v>
      </c>
      <c r="K13" s="600"/>
      <c r="L13" s="601"/>
      <c r="M13" s="602"/>
      <c r="N13" s="603"/>
      <c r="O13" s="604"/>
      <c r="P13" s="427"/>
      <c r="Q13" s="737" t="s">
        <v>1024</v>
      </c>
      <c r="R13" s="738"/>
      <c r="S13" s="737"/>
      <c r="T13" s="740"/>
    </row>
    <row r="14" spans="1:20" ht="100">
      <c r="A14" s="697" t="s">
        <v>1389</v>
      </c>
      <c r="B14" s="504" t="s">
        <v>1081</v>
      </c>
      <c r="C14" s="504" t="s">
        <v>1387</v>
      </c>
      <c r="D14" s="668"/>
      <c r="E14" s="668" t="s">
        <v>1388</v>
      </c>
      <c r="F14" s="504" t="s">
        <v>1929</v>
      </c>
      <c r="G14" s="504"/>
      <c r="H14" s="504"/>
      <c r="I14" s="690"/>
      <c r="J14" s="691" t="s">
        <v>1425</v>
      </c>
      <c r="K14" s="600" t="s">
        <v>1416</v>
      </c>
      <c r="L14" s="601" t="s">
        <v>1417</v>
      </c>
      <c r="M14" s="602" t="s">
        <v>1418</v>
      </c>
      <c r="N14" s="603" t="s">
        <v>1419</v>
      </c>
      <c r="O14" s="604" t="s">
        <v>1420</v>
      </c>
      <c r="P14" s="427"/>
      <c r="Q14" s="737" t="s">
        <v>1029</v>
      </c>
      <c r="R14" s="738" t="s">
        <v>790</v>
      </c>
      <c r="S14" s="737"/>
      <c r="T14" s="740"/>
    </row>
    <row r="15" spans="1:20" ht="36">
      <c r="A15" s="779" t="s">
        <v>7</v>
      </c>
      <c r="B15" s="440" t="s">
        <v>1045</v>
      </c>
      <c r="C15" s="440" t="s">
        <v>1157</v>
      </c>
      <c r="D15" s="780" t="s">
        <v>2181</v>
      </c>
      <c r="E15" s="440" t="s">
        <v>1718</v>
      </c>
      <c r="F15" s="440" t="s">
        <v>1515</v>
      </c>
      <c r="G15" s="780" t="s">
        <v>17</v>
      </c>
      <c r="H15" s="440" t="s">
        <v>18</v>
      </c>
      <c r="I15" s="818"/>
      <c r="J15" s="599" t="s">
        <v>1367</v>
      </c>
      <c r="K15" s="822" t="s">
        <v>1798</v>
      </c>
      <c r="L15" s="601" t="s">
        <v>1720</v>
      </c>
      <c r="M15" s="821" t="s">
        <v>1721</v>
      </c>
      <c r="N15" s="603" t="s">
        <v>1722</v>
      </c>
      <c r="O15" s="824" t="s">
        <v>1723</v>
      </c>
      <c r="P15" s="427"/>
      <c r="Q15" s="781" t="s">
        <v>2158</v>
      </c>
      <c r="R15" s="817"/>
      <c r="S15" s="781" t="s">
        <v>2125</v>
      </c>
      <c r="T15" s="819"/>
    </row>
    <row r="16" spans="1:20" ht="39">
      <c r="A16" s="779" t="s">
        <v>2052</v>
      </c>
      <c r="B16" s="440" t="s">
        <v>1045</v>
      </c>
      <c r="C16" s="440" t="s">
        <v>1046</v>
      </c>
      <c r="D16" s="510" t="s">
        <v>2043</v>
      </c>
      <c r="E16" s="440" t="s">
        <v>1436</v>
      </c>
      <c r="F16" s="440" t="s">
        <v>1931</v>
      </c>
      <c r="G16" s="780" t="s">
        <v>17</v>
      </c>
      <c r="H16" s="440" t="s">
        <v>19</v>
      </c>
      <c r="I16" s="818"/>
      <c r="J16" s="599" t="s">
        <v>1367</v>
      </c>
      <c r="K16" s="600" t="s">
        <v>1801</v>
      </c>
      <c r="L16" s="601" t="s">
        <v>1802</v>
      </c>
      <c r="M16" s="602" t="s">
        <v>1803</v>
      </c>
      <c r="N16" s="603" t="s">
        <v>1804</v>
      </c>
      <c r="O16" s="604" t="s">
        <v>1805</v>
      </c>
      <c r="P16" s="427"/>
      <c r="Q16" s="783" t="s">
        <v>2159</v>
      </c>
      <c r="R16" s="784" t="s">
        <v>2147</v>
      </c>
      <c r="S16" s="783" t="s">
        <v>2146</v>
      </c>
      <c r="T16" s="784"/>
    </row>
    <row r="17" spans="1:20" ht="13">
      <c r="A17" s="779" t="s">
        <v>7</v>
      </c>
      <c r="B17" s="440" t="s">
        <v>1045</v>
      </c>
      <c r="C17" s="440" t="s">
        <v>1387</v>
      </c>
      <c r="D17" s="780" t="s">
        <v>1806</v>
      </c>
      <c r="E17" s="440" t="s">
        <v>1765</v>
      </c>
      <c r="F17" s="440" t="s">
        <v>1489</v>
      </c>
      <c r="G17" s="780" t="s">
        <v>17</v>
      </c>
      <c r="H17" s="440" t="s">
        <v>19</v>
      </c>
      <c r="I17" s="818"/>
      <c r="J17" s="599" t="s">
        <v>1367</v>
      </c>
      <c r="K17" s="600" t="s">
        <v>1808</v>
      </c>
      <c r="L17" s="601"/>
      <c r="M17" s="602" t="s">
        <v>1809</v>
      </c>
      <c r="N17" s="603" t="s">
        <v>1810</v>
      </c>
      <c r="O17" s="604" t="s">
        <v>1811</v>
      </c>
      <c r="P17" s="427"/>
      <c r="Q17" s="783"/>
      <c r="R17" s="820"/>
      <c r="S17" s="781" t="s">
        <v>1969</v>
      </c>
      <c r="T17" s="782"/>
    </row>
    <row r="18" spans="1:20" ht="13">
      <c r="A18" s="779" t="s">
        <v>7</v>
      </c>
      <c r="B18" s="440" t="s">
        <v>1045</v>
      </c>
      <c r="C18" s="440" t="s">
        <v>1387</v>
      </c>
      <c r="D18" s="780" t="s">
        <v>1812</v>
      </c>
      <c r="E18" s="440" t="s">
        <v>1765</v>
      </c>
      <c r="F18" s="440" t="s">
        <v>1489</v>
      </c>
      <c r="G18" s="780" t="s">
        <v>19</v>
      </c>
      <c r="H18" s="440" t="s">
        <v>19</v>
      </c>
      <c r="I18" s="818"/>
      <c r="J18" s="599" t="s">
        <v>1708</v>
      </c>
      <c r="K18" s="600" t="s">
        <v>1814</v>
      </c>
      <c r="L18" s="601" t="s">
        <v>1815</v>
      </c>
      <c r="M18" s="602" t="s">
        <v>1816</v>
      </c>
      <c r="N18" s="603" t="s">
        <v>1817</v>
      </c>
      <c r="O18" s="604" t="s">
        <v>1818</v>
      </c>
      <c r="P18" s="427"/>
      <c r="Q18" s="781"/>
      <c r="R18" s="820"/>
      <c r="S18" s="781"/>
      <c r="T18" s="819"/>
    </row>
    <row r="19" spans="1:20" ht="26.4" customHeight="1">
      <c r="A19" s="698" t="s">
        <v>2106</v>
      </c>
      <c r="B19" s="504" t="s">
        <v>1156</v>
      </c>
      <c r="C19" s="504" t="s">
        <v>1157</v>
      </c>
      <c r="D19" s="669" t="s">
        <v>1158</v>
      </c>
      <c r="E19" s="670" t="s">
        <v>1158</v>
      </c>
      <c r="F19" s="670" t="s">
        <v>1931</v>
      </c>
      <c r="G19" s="669" t="s">
        <v>17</v>
      </c>
      <c r="H19" s="670" t="s">
        <v>19</v>
      </c>
      <c r="I19" s="692"/>
      <c r="J19" s="691" t="s">
        <v>1367</v>
      </c>
      <c r="K19" s="605" t="s">
        <v>1161</v>
      </c>
      <c r="L19" s="601" t="s">
        <v>1162</v>
      </c>
      <c r="M19" s="602" t="s">
        <v>1163</v>
      </c>
      <c r="N19" s="603" t="s">
        <v>1164</v>
      </c>
      <c r="O19" s="604" t="s">
        <v>1165</v>
      </c>
      <c r="P19" s="427"/>
      <c r="Q19" s="742"/>
      <c r="R19" s="743"/>
      <c r="S19" s="742" t="s">
        <v>2148</v>
      </c>
      <c r="T19" s="743"/>
    </row>
    <row r="20" spans="1:20" ht="61.25" customHeight="1">
      <c r="A20" s="698" t="s">
        <v>745</v>
      </c>
      <c r="B20" s="504" t="s">
        <v>1156</v>
      </c>
      <c r="C20" s="504" t="s">
        <v>1046</v>
      </c>
      <c r="D20" s="669" t="s">
        <v>1175</v>
      </c>
      <c r="E20" s="670" t="s">
        <v>1175</v>
      </c>
      <c r="F20" s="670" t="s">
        <v>20</v>
      </c>
      <c r="G20" s="669" t="s">
        <v>17</v>
      </c>
      <c r="H20" s="670" t="s">
        <v>19</v>
      </c>
      <c r="I20" s="692"/>
      <c r="J20" s="691" t="s">
        <v>1367</v>
      </c>
      <c r="K20" s="605" t="s">
        <v>1176</v>
      </c>
      <c r="L20" s="601" t="s">
        <v>1177</v>
      </c>
      <c r="M20" s="602" t="s">
        <v>1178</v>
      </c>
      <c r="N20" s="603" t="s">
        <v>1179</v>
      </c>
      <c r="O20" s="604" t="s">
        <v>1180</v>
      </c>
      <c r="P20" s="427"/>
      <c r="Q20" s="742"/>
      <c r="R20" s="743"/>
      <c r="S20" s="742" t="s">
        <v>1970</v>
      </c>
      <c r="T20" s="743"/>
    </row>
    <row r="21" spans="1:20" ht="25">
      <c r="A21" s="698" t="s">
        <v>745</v>
      </c>
      <c r="B21" s="504" t="s">
        <v>1156</v>
      </c>
      <c r="C21" s="504" t="s">
        <v>1188</v>
      </c>
      <c r="D21" s="669" t="s">
        <v>1189</v>
      </c>
      <c r="E21" s="670" t="s">
        <v>1189</v>
      </c>
      <c r="F21" s="670" t="s">
        <v>20</v>
      </c>
      <c r="G21" s="669" t="s">
        <v>17</v>
      </c>
      <c r="H21" s="670"/>
      <c r="I21" s="692"/>
      <c r="J21" s="691" t="s">
        <v>1367</v>
      </c>
      <c r="K21" s="605" t="s">
        <v>1190</v>
      </c>
      <c r="L21" s="601" t="s">
        <v>1191</v>
      </c>
      <c r="M21" s="602" t="s">
        <v>1192</v>
      </c>
      <c r="N21" s="603" t="s">
        <v>1193</v>
      </c>
      <c r="O21" s="604" t="s">
        <v>1194</v>
      </c>
      <c r="P21" s="427"/>
      <c r="Q21" s="742"/>
      <c r="R21" s="743"/>
      <c r="S21" s="742" t="s">
        <v>1971</v>
      </c>
      <c r="T21" s="743"/>
    </row>
    <row r="22" spans="1:20" ht="30">
      <c r="A22" s="698" t="s">
        <v>745</v>
      </c>
      <c r="B22" s="504" t="s">
        <v>1156</v>
      </c>
      <c r="C22" s="504" t="s">
        <v>1188</v>
      </c>
      <c r="D22" s="669" t="s">
        <v>1222</v>
      </c>
      <c r="E22" s="670" t="s">
        <v>1222</v>
      </c>
      <c r="F22" s="670" t="s">
        <v>20</v>
      </c>
      <c r="G22" s="669" t="s">
        <v>19</v>
      </c>
      <c r="H22" s="670" t="s">
        <v>19</v>
      </c>
      <c r="I22" s="692"/>
      <c r="J22" s="691" t="s">
        <v>1367</v>
      </c>
      <c r="K22" s="605" t="s">
        <v>1223</v>
      </c>
      <c r="L22" s="601" t="s">
        <v>1224</v>
      </c>
      <c r="M22" s="602" t="s">
        <v>1225</v>
      </c>
      <c r="N22" s="603" t="s">
        <v>1226</v>
      </c>
      <c r="O22" s="604" t="s">
        <v>1226</v>
      </c>
      <c r="P22" s="427"/>
      <c r="Q22" s="742"/>
      <c r="R22" s="743"/>
      <c r="S22" s="742" t="s">
        <v>2149</v>
      </c>
      <c r="T22" s="743"/>
    </row>
    <row r="23" spans="1:20" ht="26">
      <c r="A23" s="697" t="s">
        <v>4</v>
      </c>
      <c r="B23" s="509" t="s">
        <v>1045</v>
      </c>
      <c r="C23" s="509" t="s">
        <v>1188</v>
      </c>
      <c r="D23" s="668" t="s">
        <v>1363</v>
      </c>
      <c r="E23" s="670" t="s">
        <v>1363</v>
      </c>
      <c r="F23" s="693" t="s">
        <v>20</v>
      </c>
      <c r="G23" s="674" t="s">
        <v>1947</v>
      </c>
      <c r="H23" s="674"/>
      <c r="I23" s="690"/>
      <c r="J23" s="694" t="s">
        <v>1473</v>
      </c>
      <c r="K23" s="600" t="s">
        <v>1368</v>
      </c>
      <c r="L23" s="601" t="s">
        <v>1368</v>
      </c>
      <c r="M23" s="602" t="s">
        <v>1369</v>
      </c>
      <c r="N23" s="603" t="s">
        <v>1370</v>
      </c>
      <c r="O23" s="604" t="s">
        <v>1371</v>
      </c>
      <c r="P23" s="427"/>
      <c r="Q23" s="737"/>
      <c r="R23" s="744" t="s">
        <v>1959</v>
      </c>
      <c r="S23" s="737" t="s">
        <v>2126</v>
      </c>
      <c r="T23" s="739"/>
    </row>
    <row r="24" spans="1:20" ht="25">
      <c r="A24" s="697" t="s">
        <v>4</v>
      </c>
      <c r="B24" s="509" t="s">
        <v>1045</v>
      </c>
      <c r="C24" s="509" t="s">
        <v>1046</v>
      </c>
      <c r="D24" s="668" t="s">
        <v>1364</v>
      </c>
      <c r="E24" s="670" t="s">
        <v>1364</v>
      </c>
      <c r="F24" s="693" t="s">
        <v>20</v>
      </c>
      <c r="G24" s="674" t="s">
        <v>1947</v>
      </c>
      <c r="H24" s="674"/>
      <c r="I24" s="690"/>
      <c r="J24" s="694" t="s">
        <v>1366</v>
      </c>
      <c r="K24" s="600" t="s">
        <v>1372</v>
      </c>
      <c r="L24" s="601" t="s">
        <v>1372</v>
      </c>
      <c r="M24" s="602" t="s">
        <v>1373</v>
      </c>
      <c r="N24" s="603" t="s">
        <v>1374</v>
      </c>
      <c r="O24" s="604" t="s">
        <v>1375</v>
      </c>
      <c r="P24" s="427"/>
      <c r="Q24" s="737"/>
      <c r="R24" s="744" t="s">
        <v>1959</v>
      </c>
      <c r="S24" s="737"/>
      <c r="T24" s="741"/>
    </row>
    <row r="25" spans="1:20" ht="60">
      <c r="A25" s="697" t="s">
        <v>4</v>
      </c>
      <c r="B25" s="509" t="s">
        <v>1045</v>
      </c>
      <c r="C25" s="509" t="s">
        <v>1046</v>
      </c>
      <c r="D25" s="668" t="s">
        <v>1365</v>
      </c>
      <c r="E25" s="670" t="s">
        <v>1365</v>
      </c>
      <c r="F25" s="693" t="s">
        <v>20</v>
      </c>
      <c r="G25" s="674" t="s">
        <v>1947</v>
      </c>
      <c r="H25" s="674" t="s">
        <v>19</v>
      </c>
      <c r="I25" s="690"/>
      <c r="J25" s="694" t="s">
        <v>1367</v>
      </c>
      <c r="K25" s="600" t="s">
        <v>1376</v>
      </c>
      <c r="L25" s="601" t="s">
        <v>1376</v>
      </c>
      <c r="M25" s="602" t="s">
        <v>1377</v>
      </c>
      <c r="N25" s="603" t="s">
        <v>1378</v>
      </c>
      <c r="O25" s="604" t="s">
        <v>1379</v>
      </c>
      <c r="P25" s="427"/>
      <c r="Q25" s="742"/>
      <c r="R25" s="743"/>
      <c r="S25" s="742" t="s">
        <v>1972</v>
      </c>
      <c r="T25" s="743"/>
    </row>
    <row r="26" spans="1:20" ht="26">
      <c r="A26" s="699" t="s">
        <v>1380</v>
      </c>
      <c r="B26" s="509" t="s">
        <v>1045</v>
      </c>
      <c r="C26" s="509" t="s">
        <v>1046</v>
      </c>
      <c r="D26" s="510" t="s">
        <v>928</v>
      </c>
      <c r="E26" s="504" t="s">
        <v>1986</v>
      </c>
      <c r="F26" s="504" t="s">
        <v>1011</v>
      </c>
      <c r="G26" s="510" t="s">
        <v>1515</v>
      </c>
      <c r="H26" s="504" t="s">
        <v>19</v>
      </c>
      <c r="I26" s="690"/>
      <c r="J26" s="691" t="s">
        <v>1367</v>
      </c>
      <c r="K26" s="606" t="s">
        <v>929</v>
      </c>
      <c r="L26" s="607" t="s">
        <v>930</v>
      </c>
      <c r="M26" s="608" t="s">
        <v>931</v>
      </c>
      <c r="N26" s="609" t="s">
        <v>932</v>
      </c>
      <c r="O26" s="610" t="s">
        <v>933</v>
      </c>
      <c r="P26" s="427"/>
      <c r="Q26" s="742" t="s">
        <v>1476</v>
      </c>
      <c r="R26" s="743" t="s">
        <v>1476</v>
      </c>
      <c r="S26" s="742" t="s">
        <v>2145</v>
      </c>
      <c r="T26" s="743"/>
    </row>
    <row r="27" spans="1:20" ht="39">
      <c r="A27" s="699" t="s">
        <v>1380</v>
      </c>
      <c r="B27" s="509" t="s">
        <v>1045</v>
      </c>
      <c r="C27" s="509" t="s">
        <v>1046</v>
      </c>
      <c r="D27" s="510" t="s">
        <v>934</v>
      </c>
      <c r="E27" s="504" t="s">
        <v>1986</v>
      </c>
      <c r="F27" s="504" t="s">
        <v>1512</v>
      </c>
      <c r="G27" s="510" t="s">
        <v>1515</v>
      </c>
      <c r="H27" s="504" t="s">
        <v>19</v>
      </c>
      <c r="I27" s="690"/>
      <c r="J27" s="691" t="s">
        <v>1367</v>
      </c>
      <c r="K27" s="606" t="s">
        <v>935</v>
      </c>
      <c r="L27" s="607" t="s">
        <v>9</v>
      </c>
      <c r="M27" s="608" t="s">
        <v>936</v>
      </c>
      <c r="N27" s="609" t="s">
        <v>937</v>
      </c>
      <c r="O27" s="610" t="s">
        <v>938</v>
      </c>
      <c r="P27" s="427"/>
      <c r="Q27" s="742" t="s">
        <v>1476</v>
      </c>
      <c r="R27" s="743" t="s">
        <v>1476</v>
      </c>
      <c r="S27" s="742" t="s">
        <v>1971</v>
      </c>
      <c r="T27" s="743"/>
    </row>
    <row r="28" spans="1:20" ht="60">
      <c r="A28" s="697" t="s">
        <v>1933</v>
      </c>
      <c r="B28" s="509" t="s">
        <v>1156</v>
      </c>
      <c r="C28" s="509" t="s">
        <v>1046</v>
      </c>
      <c r="D28" s="668" t="s">
        <v>905</v>
      </c>
      <c r="E28" s="140" t="s">
        <v>1236</v>
      </c>
      <c r="F28" s="504" t="s">
        <v>1931</v>
      </c>
      <c r="G28" s="510" t="s">
        <v>20</v>
      </c>
      <c r="H28" s="504" t="s">
        <v>19</v>
      </c>
      <c r="I28" s="690"/>
      <c r="J28" s="691" t="s">
        <v>1367</v>
      </c>
      <c r="K28" s="611" t="s">
        <v>1912</v>
      </c>
      <c r="L28" s="612" t="s">
        <v>1913</v>
      </c>
      <c r="M28" s="613" t="s">
        <v>1914</v>
      </c>
      <c r="N28" s="614" t="s">
        <v>1915</v>
      </c>
      <c r="O28" s="615" t="s">
        <v>1699</v>
      </c>
      <c r="P28" s="427"/>
      <c r="Q28" s="742"/>
      <c r="R28" s="743" t="s">
        <v>1981</v>
      </c>
      <c r="S28" s="742" t="s">
        <v>1973</v>
      </c>
      <c r="T28" s="743"/>
    </row>
    <row r="29" spans="1:20" ht="90">
      <c r="A29" s="697" t="s">
        <v>1934</v>
      </c>
      <c r="B29" s="509" t="s">
        <v>1156</v>
      </c>
      <c r="C29" s="509" t="s">
        <v>1188</v>
      </c>
      <c r="D29" s="671" t="s">
        <v>1562</v>
      </c>
      <c r="E29" s="140" t="s">
        <v>1249</v>
      </c>
      <c r="F29" s="504" t="s">
        <v>1931</v>
      </c>
      <c r="G29" s="510" t="s">
        <v>1515</v>
      </c>
      <c r="H29" s="510"/>
      <c r="I29" s="690"/>
      <c r="J29" s="691" t="s">
        <v>1367</v>
      </c>
      <c r="K29" s="611">
        <v>0</v>
      </c>
      <c r="L29" s="612" t="s">
        <v>1242</v>
      </c>
      <c r="M29" s="613" t="s">
        <v>1243</v>
      </c>
      <c r="N29" s="614" t="s">
        <v>1244</v>
      </c>
      <c r="O29" s="615" t="s">
        <v>1245</v>
      </c>
      <c r="P29" s="427"/>
      <c r="Q29" s="737"/>
      <c r="R29" s="744" t="s">
        <v>1949</v>
      </c>
      <c r="S29" s="737" t="s">
        <v>2127</v>
      </c>
      <c r="T29" s="739"/>
    </row>
    <row r="30" spans="1:20" ht="180">
      <c r="A30" s="697" t="s">
        <v>1934</v>
      </c>
      <c r="B30" s="509" t="s">
        <v>1156</v>
      </c>
      <c r="C30" s="509" t="s">
        <v>1188</v>
      </c>
      <c r="D30" s="510" t="s">
        <v>1252</v>
      </c>
      <c r="E30" s="504" t="s">
        <v>1252</v>
      </c>
      <c r="F30" s="504" t="s">
        <v>1515</v>
      </c>
      <c r="G30" s="510" t="s">
        <v>1515</v>
      </c>
      <c r="H30" s="510"/>
      <c r="I30" s="690"/>
      <c r="J30" s="691" t="s">
        <v>1367</v>
      </c>
      <c r="K30" s="611">
        <v>0</v>
      </c>
      <c r="L30" s="612" t="s">
        <v>1254</v>
      </c>
      <c r="M30" s="613" t="s">
        <v>1255</v>
      </c>
      <c r="N30" s="614" t="s">
        <v>1256</v>
      </c>
      <c r="O30" s="615" t="s">
        <v>1257</v>
      </c>
      <c r="P30" s="427"/>
      <c r="Q30" s="737"/>
      <c r="R30" s="744" t="s">
        <v>1949</v>
      </c>
      <c r="S30" s="737" t="s">
        <v>1974</v>
      </c>
      <c r="T30" s="740"/>
    </row>
    <row r="31" spans="1:20" ht="70">
      <c r="A31" s="697" t="s">
        <v>1934</v>
      </c>
      <c r="B31" s="509" t="s">
        <v>1156</v>
      </c>
      <c r="C31" s="509" t="s">
        <v>1188</v>
      </c>
      <c r="D31" s="671" t="s">
        <v>1896</v>
      </c>
      <c r="E31" s="140" t="s">
        <v>1258</v>
      </c>
      <c r="F31" s="504" t="s">
        <v>1931</v>
      </c>
      <c r="G31" s="510" t="s">
        <v>1515</v>
      </c>
      <c r="H31" s="510"/>
      <c r="I31" s="690"/>
      <c r="J31" s="691" t="s">
        <v>1367</v>
      </c>
      <c r="K31" s="611" t="s">
        <v>1260</v>
      </c>
      <c r="L31" s="612" t="s">
        <v>1261</v>
      </c>
      <c r="M31" s="613" t="s">
        <v>1262</v>
      </c>
      <c r="N31" s="614" t="s">
        <v>1263</v>
      </c>
      <c r="O31" s="615" t="s">
        <v>1264</v>
      </c>
      <c r="P31" s="427"/>
      <c r="Q31" s="737"/>
      <c r="R31" s="744" t="s">
        <v>1949</v>
      </c>
      <c r="S31" s="737" t="s">
        <v>1975</v>
      </c>
      <c r="T31" s="740"/>
    </row>
    <row r="32" spans="1:20" ht="40">
      <c r="A32" s="697" t="s">
        <v>1934</v>
      </c>
      <c r="B32" s="509" t="s">
        <v>1156</v>
      </c>
      <c r="C32" s="509" t="s">
        <v>1188</v>
      </c>
      <c r="D32" s="510" t="s">
        <v>1310</v>
      </c>
      <c r="E32" s="504" t="s">
        <v>1310</v>
      </c>
      <c r="F32" s="504" t="s">
        <v>1515</v>
      </c>
      <c r="G32" s="510" t="s">
        <v>1515</v>
      </c>
      <c r="H32" s="510"/>
      <c r="I32" s="690"/>
      <c r="J32" s="691" t="s">
        <v>1367</v>
      </c>
      <c r="K32" s="611" t="s">
        <v>1916</v>
      </c>
      <c r="L32" s="612" t="s">
        <v>1917</v>
      </c>
      <c r="M32" s="613" t="s">
        <v>1918</v>
      </c>
      <c r="N32" s="614" t="s">
        <v>1919</v>
      </c>
      <c r="O32" s="615" t="s">
        <v>1920</v>
      </c>
      <c r="P32" s="427"/>
      <c r="Q32" s="737"/>
      <c r="R32" s="744" t="s">
        <v>1949</v>
      </c>
      <c r="S32" s="737" t="s">
        <v>1976</v>
      </c>
      <c r="T32" s="740"/>
    </row>
    <row r="33" spans="1:20" ht="26">
      <c r="A33" s="697" t="s">
        <v>1934</v>
      </c>
      <c r="B33" s="509" t="s">
        <v>1156</v>
      </c>
      <c r="C33" s="509" t="s">
        <v>1046</v>
      </c>
      <c r="D33" s="510" t="s">
        <v>1911</v>
      </c>
      <c r="E33" s="504" t="s">
        <v>1316</v>
      </c>
      <c r="F33" s="504" t="s">
        <v>1931</v>
      </c>
      <c r="G33" s="510" t="s">
        <v>1515</v>
      </c>
      <c r="H33" s="510"/>
      <c r="I33" s="690"/>
      <c r="J33" s="691" t="s">
        <v>1367</v>
      </c>
      <c r="K33" s="611">
        <v>0</v>
      </c>
      <c r="L33" s="612" t="s">
        <v>1921</v>
      </c>
      <c r="M33" s="613" t="s">
        <v>1922</v>
      </c>
      <c r="N33" s="614" t="s">
        <v>1923</v>
      </c>
      <c r="O33" s="615" t="s">
        <v>1924</v>
      </c>
      <c r="P33" s="427"/>
      <c r="Q33" s="737"/>
      <c r="R33" s="744" t="s">
        <v>1949</v>
      </c>
      <c r="S33" s="737" t="s">
        <v>1484</v>
      </c>
      <c r="T33" s="740"/>
    </row>
    <row r="34" spans="1:20" ht="104">
      <c r="A34" s="697" t="s">
        <v>1934</v>
      </c>
      <c r="B34" s="509" t="s">
        <v>1156</v>
      </c>
      <c r="C34" s="504" t="s">
        <v>1188</v>
      </c>
      <c r="D34" s="510" t="s">
        <v>1961</v>
      </c>
      <c r="E34" s="504" t="s">
        <v>1950</v>
      </c>
      <c r="F34" s="504" t="s">
        <v>1931</v>
      </c>
      <c r="G34" s="674" t="s">
        <v>1947</v>
      </c>
      <c r="H34" s="674"/>
      <c r="I34" s="690"/>
      <c r="J34" s="691" t="s">
        <v>1367</v>
      </c>
      <c r="K34" s="605" t="s">
        <v>1925</v>
      </c>
      <c r="L34" s="601" t="s">
        <v>1925</v>
      </c>
      <c r="M34" s="602" t="s">
        <v>1926</v>
      </c>
      <c r="N34" s="603" t="s">
        <v>1927</v>
      </c>
      <c r="O34" s="604" t="s">
        <v>1928</v>
      </c>
      <c r="P34" s="427"/>
      <c r="Q34" s="737"/>
      <c r="R34" s="744" t="s">
        <v>1982</v>
      </c>
      <c r="S34" s="737"/>
      <c r="T34" s="740"/>
    </row>
    <row r="35" spans="1:20" ht="30">
      <c r="A35" s="699" t="s">
        <v>1935</v>
      </c>
      <c r="B35" s="509" t="s">
        <v>1156</v>
      </c>
      <c r="C35" s="504" t="s">
        <v>1046</v>
      </c>
      <c r="D35" s="510" t="s">
        <v>1861</v>
      </c>
      <c r="E35" s="504" t="s">
        <v>1274</v>
      </c>
      <c r="F35" s="504" t="s">
        <v>1931</v>
      </c>
      <c r="G35" s="510" t="s">
        <v>17</v>
      </c>
      <c r="H35" s="510"/>
      <c r="I35" s="690"/>
      <c r="J35" s="691" t="s">
        <v>1367</v>
      </c>
      <c r="K35" s="605" t="s">
        <v>1862</v>
      </c>
      <c r="L35" s="601" t="s">
        <v>9</v>
      </c>
      <c r="M35" s="602" t="s">
        <v>1863</v>
      </c>
      <c r="N35" s="603" t="s">
        <v>9</v>
      </c>
      <c r="O35" s="604" t="s">
        <v>9</v>
      </c>
      <c r="P35" s="427"/>
      <c r="Q35" s="737"/>
      <c r="R35" s="744"/>
      <c r="S35" s="737" t="s">
        <v>1977</v>
      </c>
      <c r="T35" s="741"/>
    </row>
    <row r="36" spans="1:20" ht="62.5">
      <c r="A36" s="699" t="s">
        <v>1936</v>
      </c>
      <c r="B36" s="509" t="s">
        <v>1156</v>
      </c>
      <c r="C36" s="504" t="s">
        <v>1188</v>
      </c>
      <c r="D36" s="510" t="s">
        <v>1864</v>
      </c>
      <c r="E36" s="504" t="s">
        <v>1865</v>
      </c>
      <c r="F36" s="504" t="s">
        <v>1515</v>
      </c>
      <c r="G36" s="510" t="s">
        <v>17</v>
      </c>
      <c r="H36" s="504" t="s">
        <v>19</v>
      </c>
      <c r="I36" s="690"/>
      <c r="J36" s="691" t="s">
        <v>1367</v>
      </c>
      <c r="K36" s="605" t="s">
        <v>2131</v>
      </c>
      <c r="L36" s="601" t="s">
        <v>9</v>
      </c>
      <c r="M36" s="602" t="s">
        <v>2132</v>
      </c>
      <c r="N36" s="603" t="s">
        <v>2133</v>
      </c>
      <c r="O36" s="604" t="s">
        <v>9</v>
      </c>
      <c r="P36" s="427"/>
      <c r="Q36" s="742"/>
      <c r="R36" s="743" t="s">
        <v>2130</v>
      </c>
      <c r="S36" s="742" t="s">
        <v>2150</v>
      </c>
      <c r="T36" s="743"/>
    </row>
    <row r="37" spans="1:20" ht="62.5">
      <c r="A37" s="699" t="s">
        <v>1937</v>
      </c>
      <c r="B37" s="509" t="s">
        <v>1156</v>
      </c>
      <c r="C37" s="504" t="s">
        <v>1188</v>
      </c>
      <c r="D37" s="510" t="s">
        <v>1866</v>
      </c>
      <c r="E37" s="504" t="s">
        <v>1865</v>
      </c>
      <c r="F37" s="504" t="s">
        <v>1515</v>
      </c>
      <c r="G37" s="510" t="s">
        <v>17</v>
      </c>
      <c r="H37" s="510"/>
      <c r="I37" s="695"/>
      <c r="J37" s="691" t="s">
        <v>1367</v>
      </c>
      <c r="K37" s="605" t="s">
        <v>1867</v>
      </c>
      <c r="L37" s="601" t="s">
        <v>9</v>
      </c>
      <c r="M37" s="602" t="s">
        <v>9</v>
      </c>
      <c r="N37" s="603" t="s">
        <v>9</v>
      </c>
      <c r="O37" s="604" t="s">
        <v>1868</v>
      </c>
      <c r="P37" s="427"/>
      <c r="Q37" s="737"/>
      <c r="R37" s="744"/>
      <c r="S37" s="737" t="s">
        <v>1971</v>
      </c>
      <c r="T37" s="739"/>
    </row>
    <row r="38" spans="1:20" ht="39">
      <c r="A38" s="699" t="s">
        <v>1938</v>
      </c>
      <c r="B38" s="509" t="s">
        <v>1156</v>
      </c>
      <c r="C38" s="504" t="s">
        <v>1046</v>
      </c>
      <c r="D38" s="510" t="s">
        <v>1870</v>
      </c>
      <c r="E38" s="504" t="s">
        <v>1871</v>
      </c>
      <c r="F38" s="504" t="s">
        <v>1931</v>
      </c>
      <c r="G38" s="510" t="s">
        <v>17</v>
      </c>
      <c r="H38" s="510"/>
      <c r="I38" s="695"/>
      <c r="J38" s="691" t="s">
        <v>1367</v>
      </c>
      <c r="K38" s="605" t="s">
        <v>1872</v>
      </c>
      <c r="L38" s="601" t="s">
        <v>9</v>
      </c>
      <c r="M38" s="602" t="s">
        <v>1873</v>
      </c>
      <c r="N38" s="603" t="s">
        <v>9</v>
      </c>
      <c r="O38" s="604" t="s">
        <v>9</v>
      </c>
      <c r="P38" s="427"/>
      <c r="Q38" s="737"/>
      <c r="R38" s="744"/>
      <c r="S38" s="737" t="s">
        <v>1971</v>
      </c>
      <c r="T38" s="740"/>
    </row>
    <row r="39" spans="1:20" ht="37.5">
      <c r="A39" s="699" t="s">
        <v>1939</v>
      </c>
      <c r="B39" s="509" t="s">
        <v>1156</v>
      </c>
      <c r="C39" s="504" t="s">
        <v>1157</v>
      </c>
      <c r="D39" s="510" t="s">
        <v>1875</v>
      </c>
      <c r="E39" s="504" t="s">
        <v>1876</v>
      </c>
      <c r="F39" s="504" t="s">
        <v>1931</v>
      </c>
      <c r="G39" s="510" t="s">
        <v>17</v>
      </c>
      <c r="H39" s="510"/>
      <c r="I39" s="695"/>
      <c r="J39" s="691" t="s">
        <v>1367</v>
      </c>
      <c r="K39" s="616" t="s">
        <v>1877</v>
      </c>
      <c r="L39" s="617"/>
      <c r="M39" s="618"/>
      <c r="N39" s="619"/>
      <c r="O39" s="620"/>
      <c r="P39" s="427"/>
      <c r="Q39" s="737"/>
      <c r="R39" s="744"/>
      <c r="S39" s="737" t="s">
        <v>1978</v>
      </c>
      <c r="T39" s="740"/>
    </row>
    <row r="40" spans="1:20" ht="26">
      <c r="A40" s="699" t="s">
        <v>1940</v>
      </c>
      <c r="B40" s="509" t="s">
        <v>1156</v>
      </c>
      <c r="C40" s="504" t="s">
        <v>1046</v>
      </c>
      <c r="D40" s="510" t="s">
        <v>1879</v>
      </c>
      <c r="E40" s="504" t="s">
        <v>1283</v>
      </c>
      <c r="F40" s="504" t="s">
        <v>1931</v>
      </c>
      <c r="G40" s="510" t="s">
        <v>17</v>
      </c>
      <c r="H40" s="510"/>
      <c r="I40" s="695"/>
      <c r="J40" s="691" t="s">
        <v>1367</v>
      </c>
      <c r="K40" s="605" t="s">
        <v>887</v>
      </c>
      <c r="L40" s="601" t="s">
        <v>9</v>
      </c>
      <c r="M40" s="602" t="s">
        <v>888</v>
      </c>
      <c r="N40" s="603" t="s">
        <v>9</v>
      </c>
      <c r="O40" s="604" t="s">
        <v>9</v>
      </c>
      <c r="P40" s="427"/>
      <c r="Q40" s="737"/>
      <c r="R40" s="744"/>
      <c r="S40" s="737" t="s">
        <v>1484</v>
      </c>
      <c r="T40" s="740"/>
    </row>
    <row r="41" spans="1:20" ht="52">
      <c r="A41" s="699" t="s">
        <v>1937</v>
      </c>
      <c r="B41" s="509" t="s">
        <v>1156</v>
      </c>
      <c r="C41" s="504" t="s">
        <v>1157</v>
      </c>
      <c r="D41" s="510" t="s">
        <v>1881</v>
      </c>
      <c r="E41" s="504" t="s">
        <v>1876</v>
      </c>
      <c r="F41" s="504" t="s">
        <v>1931</v>
      </c>
      <c r="G41" s="510" t="s">
        <v>17</v>
      </c>
      <c r="H41" s="510"/>
      <c r="I41" s="695"/>
      <c r="J41" s="691" t="s">
        <v>1367</v>
      </c>
      <c r="K41" s="605" t="s">
        <v>1882</v>
      </c>
      <c r="L41" s="601" t="s">
        <v>1882</v>
      </c>
      <c r="M41" s="602" t="s">
        <v>1883</v>
      </c>
      <c r="N41" s="603" t="s">
        <v>1884</v>
      </c>
      <c r="O41" s="604" t="s">
        <v>1885</v>
      </c>
      <c r="P41" s="427"/>
      <c r="Q41" s="737"/>
      <c r="R41" s="744"/>
      <c r="S41" s="737" t="s">
        <v>1968</v>
      </c>
      <c r="T41" s="740"/>
    </row>
    <row r="42" spans="1:20" ht="91">
      <c r="A42" s="699" t="s">
        <v>1937</v>
      </c>
      <c r="B42" s="509" t="s">
        <v>1156</v>
      </c>
      <c r="C42" s="504" t="s">
        <v>1188</v>
      </c>
      <c r="D42" s="510" t="s">
        <v>1887</v>
      </c>
      <c r="E42" s="504" t="s">
        <v>1871</v>
      </c>
      <c r="F42" s="504" t="s">
        <v>1931</v>
      </c>
      <c r="G42" s="510" t="s">
        <v>19</v>
      </c>
      <c r="H42" s="510"/>
      <c r="I42" s="695"/>
      <c r="J42" s="691" t="s">
        <v>1708</v>
      </c>
      <c r="K42" s="605" t="s">
        <v>1888</v>
      </c>
      <c r="L42" s="601" t="s">
        <v>1888</v>
      </c>
      <c r="M42" s="602" t="s">
        <v>1889</v>
      </c>
      <c r="N42" s="603" t="s">
        <v>1890</v>
      </c>
      <c r="O42" s="604" t="s">
        <v>1891</v>
      </c>
      <c r="P42" s="427"/>
      <c r="Q42" s="737"/>
      <c r="R42" s="744"/>
      <c r="S42" s="737"/>
      <c r="T42" s="740"/>
    </row>
    <row r="43" spans="1:20" ht="26">
      <c r="A43" s="699" t="s">
        <v>1935</v>
      </c>
      <c r="B43" s="509" t="s">
        <v>1156</v>
      </c>
      <c r="C43" s="504" t="s">
        <v>1188</v>
      </c>
      <c r="D43" s="510" t="s">
        <v>1892</v>
      </c>
      <c r="E43" s="504" t="s">
        <v>1283</v>
      </c>
      <c r="F43" s="504" t="s">
        <v>1931</v>
      </c>
      <c r="G43" s="510" t="s">
        <v>19</v>
      </c>
      <c r="H43" s="510"/>
      <c r="I43" s="695"/>
      <c r="J43" s="691" t="s">
        <v>1708</v>
      </c>
      <c r="K43" s="605">
        <v>0</v>
      </c>
      <c r="L43" s="601">
        <v>0</v>
      </c>
      <c r="M43" s="602" t="s">
        <v>1893</v>
      </c>
      <c r="N43" s="603" t="s">
        <v>1894</v>
      </c>
      <c r="O43" s="604" t="s">
        <v>1695</v>
      </c>
      <c r="P43" s="427"/>
      <c r="Q43" s="737"/>
      <c r="R43" s="744"/>
      <c r="S43" s="737"/>
      <c r="T43" s="740"/>
    </row>
    <row r="44" spans="1:20" ht="26">
      <c r="A44" s="698" t="s">
        <v>1941</v>
      </c>
      <c r="B44" s="504" t="s">
        <v>1156</v>
      </c>
      <c r="C44" s="504" t="s">
        <v>1188</v>
      </c>
      <c r="D44" s="510" t="s">
        <v>1310</v>
      </c>
      <c r="E44" s="504" t="s">
        <v>1310</v>
      </c>
      <c r="F44" s="504" t="s">
        <v>1962</v>
      </c>
      <c r="G44" s="504" t="s">
        <v>1659</v>
      </c>
      <c r="H44" s="504"/>
      <c r="I44" s="695"/>
      <c r="J44" s="691" t="s">
        <v>1394</v>
      </c>
      <c r="K44" s="605"/>
      <c r="L44" s="601"/>
      <c r="M44" s="602"/>
      <c r="N44" s="603"/>
      <c r="O44" s="604"/>
      <c r="P44" s="427"/>
      <c r="Q44" s="737" t="s">
        <v>1361</v>
      </c>
      <c r="R44" s="744" t="s">
        <v>1983</v>
      </c>
      <c r="S44" s="737" t="s">
        <v>1979</v>
      </c>
      <c r="T44" s="740"/>
    </row>
    <row r="45" spans="1:20" ht="50">
      <c r="A45" s="698" t="s">
        <v>1942</v>
      </c>
      <c r="B45" s="504" t="s">
        <v>1156</v>
      </c>
      <c r="C45" s="504" t="s">
        <v>1157</v>
      </c>
      <c r="D45" s="672" t="s">
        <v>1311</v>
      </c>
      <c r="E45" s="673" t="s">
        <v>1311</v>
      </c>
      <c r="F45" s="504" t="s">
        <v>1932</v>
      </c>
      <c r="G45" s="504" t="s">
        <v>1659</v>
      </c>
      <c r="H45" s="504"/>
      <c r="I45" s="695"/>
      <c r="J45" s="691" t="s">
        <v>1394</v>
      </c>
      <c r="K45" s="605" t="s">
        <v>1312</v>
      </c>
      <c r="L45" s="601" t="s">
        <v>1312</v>
      </c>
      <c r="M45" s="602" t="s">
        <v>1313</v>
      </c>
      <c r="N45" s="603" t="s">
        <v>1314</v>
      </c>
      <c r="O45" s="604" t="s">
        <v>1315</v>
      </c>
      <c r="P45" s="427"/>
      <c r="Q45" s="737" t="s">
        <v>1360</v>
      </c>
      <c r="R45" s="744"/>
      <c r="S45" s="737" t="s">
        <v>1980</v>
      </c>
      <c r="T45" s="741"/>
    </row>
    <row r="46" spans="1:20" ht="90">
      <c r="A46" s="698" t="s">
        <v>1942</v>
      </c>
      <c r="B46" s="504" t="s">
        <v>1156</v>
      </c>
      <c r="C46" s="504" t="s">
        <v>1046</v>
      </c>
      <c r="D46" s="510" t="s">
        <v>950</v>
      </c>
      <c r="E46" s="504" t="s">
        <v>1316</v>
      </c>
      <c r="F46" s="504" t="s">
        <v>1931</v>
      </c>
      <c r="G46" s="510" t="s">
        <v>19</v>
      </c>
      <c r="H46" s="504" t="s">
        <v>19</v>
      </c>
      <c r="I46" s="695"/>
      <c r="J46" s="691" t="s">
        <v>1394</v>
      </c>
      <c r="K46" s="621" t="s">
        <v>951</v>
      </c>
      <c r="L46" s="601" t="s">
        <v>1899</v>
      </c>
      <c r="M46" s="602" t="s">
        <v>1900</v>
      </c>
      <c r="N46" s="603" t="s">
        <v>1901</v>
      </c>
      <c r="O46" s="604" t="s">
        <v>1902</v>
      </c>
      <c r="P46" s="427"/>
      <c r="Q46" s="742" t="s">
        <v>1359</v>
      </c>
      <c r="R46" s="743"/>
      <c r="S46" s="742" t="s">
        <v>2151</v>
      </c>
      <c r="T46" s="743"/>
    </row>
    <row r="47" spans="1:20" ht="120">
      <c r="A47" s="698" t="s">
        <v>1942</v>
      </c>
      <c r="B47" s="504" t="s">
        <v>1156</v>
      </c>
      <c r="C47" s="504" t="s">
        <v>1046</v>
      </c>
      <c r="D47" s="510" t="s">
        <v>1323</v>
      </c>
      <c r="E47" s="504" t="s">
        <v>1323</v>
      </c>
      <c r="F47" s="504" t="s">
        <v>20</v>
      </c>
      <c r="G47" s="504" t="s">
        <v>1659</v>
      </c>
      <c r="H47" s="504"/>
      <c r="I47" s="695"/>
      <c r="J47" s="691" t="s">
        <v>1394</v>
      </c>
      <c r="K47" s="621" t="s">
        <v>1324</v>
      </c>
      <c r="L47" s="601" t="s">
        <v>1325</v>
      </c>
      <c r="M47" s="602" t="s">
        <v>1326</v>
      </c>
      <c r="N47" s="603" t="s">
        <v>1327</v>
      </c>
      <c r="O47" s="604" t="s">
        <v>1328</v>
      </c>
      <c r="P47" s="427"/>
      <c r="Q47" s="737" t="s">
        <v>1357</v>
      </c>
      <c r="R47" s="744" t="s">
        <v>1983</v>
      </c>
      <c r="S47" s="737" t="s">
        <v>2128</v>
      </c>
      <c r="T47" s="739"/>
    </row>
    <row r="48" spans="1:20" ht="26">
      <c r="A48" s="698" t="s">
        <v>2119</v>
      </c>
      <c r="B48" s="504" t="s">
        <v>1663</v>
      </c>
      <c r="C48" s="504" t="s">
        <v>821</v>
      </c>
      <c r="D48" s="510" t="s">
        <v>1707</v>
      </c>
      <c r="E48" s="504" t="s">
        <v>1285</v>
      </c>
      <c r="F48" s="504" t="s">
        <v>1931</v>
      </c>
      <c r="G48" s="504" t="s">
        <v>1659</v>
      </c>
      <c r="H48" s="504"/>
      <c r="I48" s="695"/>
      <c r="J48" s="691" t="s">
        <v>1708</v>
      </c>
      <c r="K48" s="622" t="s">
        <v>1287</v>
      </c>
      <c r="L48" s="601" t="s">
        <v>1277</v>
      </c>
      <c r="M48" s="602" t="s">
        <v>1288</v>
      </c>
      <c r="N48" s="603" t="s">
        <v>1289</v>
      </c>
      <c r="O48" s="604" t="s">
        <v>1290</v>
      </c>
      <c r="P48" s="427"/>
      <c r="Q48" s="737"/>
      <c r="R48" s="744"/>
      <c r="S48" s="737"/>
      <c r="T48" s="741"/>
    </row>
    <row r="49" spans="1:20" ht="29.5" customHeight="1">
      <c r="A49" s="698" t="s">
        <v>1943</v>
      </c>
      <c r="B49" s="504" t="s">
        <v>1434</v>
      </c>
      <c r="C49" s="504" t="s">
        <v>1046</v>
      </c>
      <c r="D49" s="510" t="s">
        <v>1967</v>
      </c>
      <c r="E49" s="504" t="s">
        <v>1291</v>
      </c>
      <c r="F49" s="504" t="s">
        <v>1515</v>
      </c>
      <c r="G49" s="510" t="s">
        <v>19</v>
      </c>
      <c r="H49" s="504" t="s">
        <v>19</v>
      </c>
      <c r="I49" s="695"/>
      <c r="J49" s="691" t="s">
        <v>1367</v>
      </c>
      <c r="K49" s="621" t="s">
        <v>1904</v>
      </c>
      <c r="L49" s="601" t="s">
        <v>9</v>
      </c>
      <c r="M49" s="602" t="s">
        <v>1909</v>
      </c>
      <c r="N49" s="603" t="s">
        <v>1910</v>
      </c>
      <c r="O49" s="604" t="s">
        <v>9</v>
      </c>
      <c r="P49" s="427"/>
      <c r="Q49" s="742"/>
      <c r="R49" s="743"/>
      <c r="S49" s="742" t="s">
        <v>1971</v>
      </c>
      <c r="T49" s="743"/>
    </row>
    <row r="50" spans="1:20" ht="46" customHeight="1">
      <c r="A50" s="698" t="s">
        <v>1943</v>
      </c>
      <c r="B50" s="504" t="s">
        <v>1434</v>
      </c>
      <c r="C50" s="504" t="s">
        <v>1046</v>
      </c>
      <c r="D50" s="510" t="s">
        <v>1903</v>
      </c>
      <c r="E50" s="504" t="s">
        <v>1297</v>
      </c>
      <c r="F50" s="504" t="s">
        <v>1931</v>
      </c>
      <c r="G50" s="510" t="s">
        <v>19</v>
      </c>
      <c r="H50" s="510"/>
      <c r="I50" s="695"/>
      <c r="J50" s="691" t="s">
        <v>1367</v>
      </c>
      <c r="K50" s="621" t="s">
        <v>1905</v>
      </c>
      <c r="L50" s="601" t="s">
        <v>9</v>
      </c>
      <c r="M50" s="602" t="s">
        <v>9</v>
      </c>
      <c r="N50" s="603" t="s">
        <v>1906</v>
      </c>
      <c r="O50" s="604" t="s">
        <v>9</v>
      </c>
      <c r="P50" s="427"/>
      <c r="Q50" s="737"/>
      <c r="R50" s="744" t="s">
        <v>1474</v>
      </c>
      <c r="S50" s="737" t="s">
        <v>1971</v>
      </c>
      <c r="T50" s="739"/>
    </row>
    <row r="51" spans="1:20" ht="25">
      <c r="A51" s="698" t="s">
        <v>1943</v>
      </c>
      <c r="B51" s="504" t="s">
        <v>1434</v>
      </c>
      <c r="C51" s="504" t="s">
        <v>1046</v>
      </c>
      <c r="D51" s="510" t="s">
        <v>1709</v>
      </c>
      <c r="E51" s="504" t="s">
        <v>1303</v>
      </c>
      <c r="F51" s="504" t="s">
        <v>1515</v>
      </c>
      <c r="G51" s="510" t="s">
        <v>19</v>
      </c>
      <c r="H51" s="510"/>
      <c r="I51" s="695"/>
      <c r="J51" s="691" t="s">
        <v>1394</v>
      </c>
      <c r="K51" s="621" t="s">
        <v>1907</v>
      </c>
      <c r="L51" s="601" t="s">
        <v>9</v>
      </c>
      <c r="M51" s="602" t="s">
        <v>9</v>
      </c>
      <c r="N51" s="603" t="s">
        <v>1908</v>
      </c>
      <c r="O51" s="604" t="s">
        <v>9</v>
      </c>
      <c r="P51" s="427"/>
      <c r="Q51" s="737"/>
      <c r="R51" s="744" t="s">
        <v>1475</v>
      </c>
      <c r="S51" s="737" t="s">
        <v>1971</v>
      </c>
      <c r="T51" s="740"/>
    </row>
    <row r="52" spans="1:20" ht="39">
      <c r="A52" s="698" t="s">
        <v>1944</v>
      </c>
      <c r="B52" s="673" t="s">
        <v>1434</v>
      </c>
      <c r="C52" s="673" t="s">
        <v>1046</v>
      </c>
      <c r="D52" s="510" t="s">
        <v>1848</v>
      </c>
      <c r="E52" s="504" t="s">
        <v>1953</v>
      </c>
      <c r="F52" s="504" t="s">
        <v>1678</v>
      </c>
      <c r="G52" s="504" t="s">
        <v>1856</v>
      </c>
      <c r="H52" s="504"/>
      <c r="I52" s="695"/>
      <c r="J52" s="691" t="s">
        <v>1367</v>
      </c>
      <c r="K52" s="621" t="s">
        <v>1275</v>
      </c>
      <c r="L52" s="601" t="s">
        <v>1276</v>
      </c>
      <c r="M52" s="602" t="s">
        <v>1277</v>
      </c>
      <c r="N52" s="603" t="s">
        <v>1278</v>
      </c>
      <c r="O52" s="604" t="s">
        <v>1279</v>
      </c>
      <c r="P52" s="427"/>
      <c r="Q52" s="737" t="s">
        <v>1849</v>
      </c>
      <c r="R52" s="744"/>
      <c r="S52" s="737" t="s">
        <v>2129</v>
      </c>
      <c r="T52" s="741"/>
    </row>
    <row r="53" spans="1:20" ht="100">
      <c r="A53" s="698" t="s">
        <v>1944</v>
      </c>
      <c r="B53" s="673" t="s">
        <v>1156</v>
      </c>
      <c r="C53" s="673" t="s">
        <v>1188</v>
      </c>
      <c r="D53" s="510" t="s">
        <v>1685</v>
      </c>
      <c r="E53" s="504" t="s">
        <v>1954</v>
      </c>
      <c r="F53" s="504" t="s">
        <v>1930</v>
      </c>
      <c r="G53" s="504" t="s">
        <v>1856</v>
      </c>
      <c r="H53" s="504" t="s">
        <v>19</v>
      </c>
      <c r="I53" s="695"/>
      <c r="J53" s="691" t="s">
        <v>1955</v>
      </c>
      <c r="K53" s="621" t="s">
        <v>1850</v>
      </c>
      <c r="L53" s="601" t="s">
        <v>1850</v>
      </c>
      <c r="M53" s="602" t="s">
        <v>1850</v>
      </c>
      <c r="N53" s="603" t="s">
        <v>1851</v>
      </c>
      <c r="O53" s="604" t="s">
        <v>1852</v>
      </c>
      <c r="P53" s="427"/>
      <c r="Q53" s="742" t="s">
        <v>1853</v>
      </c>
      <c r="R53" s="743" t="s">
        <v>1958</v>
      </c>
      <c r="S53" s="742" t="s">
        <v>2152</v>
      </c>
      <c r="T53" s="743" t="s">
        <v>2153</v>
      </c>
    </row>
    <row r="54" spans="1:20" ht="69">
      <c r="A54" s="698" t="s">
        <v>1944</v>
      </c>
      <c r="B54" s="673" t="s">
        <v>1156</v>
      </c>
      <c r="C54" s="673" t="s">
        <v>1188</v>
      </c>
      <c r="D54" s="510" t="s">
        <v>1854</v>
      </c>
      <c r="E54" s="504" t="s">
        <v>1948</v>
      </c>
      <c r="F54" s="504" t="s">
        <v>18</v>
      </c>
      <c r="G54" s="510" t="s">
        <v>19</v>
      </c>
      <c r="H54" s="510"/>
      <c r="I54" s="695"/>
      <c r="J54" s="696" t="s">
        <v>1855</v>
      </c>
      <c r="K54" s="621"/>
      <c r="L54" s="601"/>
      <c r="M54" s="602"/>
      <c r="N54" s="603"/>
      <c r="O54" s="604"/>
      <c r="P54" s="427"/>
      <c r="Q54" s="737" t="s">
        <v>1957</v>
      </c>
      <c r="R54" s="744"/>
      <c r="S54" s="737"/>
      <c r="T54" s="745"/>
    </row>
    <row r="55" spans="1:20" s="623" customFormat="1" ht="60">
      <c r="A55" s="698" t="s">
        <v>1988</v>
      </c>
      <c r="B55" s="673" t="s">
        <v>1045</v>
      </c>
      <c r="C55" s="673" t="s">
        <v>1046</v>
      </c>
      <c r="D55" s="510" t="s">
        <v>29</v>
      </c>
      <c r="E55" s="504" t="s">
        <v>2042</v>
      </c>
      <c r="F55" s="504" t="s">
        <v>1489</v>
      </c>
      <c r="G55" s="504" t="s">
        <v>19</v>
      </c>
      <c r="H55" s="504" t="s">
        <v>19</v>
      </c>
      <c r="I55" s="695"/>
      <c r="J55" s="691" t="s">
        <v>1367</v>
      </c>
      <c r="K55" s="621" t="s">
        <v>1996</v>
      </c>
      <c r="L55" s="601" t="s">
        <v>1997</v>
      </c>
      <c r="M55" s="602" t="s">
        <v>1998</v>
      </c>
      <c r="N55" s="603" t="s">
        <v>1999</v>
      </c>
      <c r="O55" s="604"/>
      <c r="P55" s="439"/>
      <c r="Q55" s="742" t="s">
        <v>2000</v>
      </c>
      <c r="R55" s="743"/>
      <c r="S55" s="742" t="s">
        <v>1971</v>
      </c>
      <c r="T55" s="743"/>
    </row>
    <row r="56" spans="1:20" s="623" customFormat="1" ht="30">
      <c r="A56" s="698" t="s">
        <v>1988</v>
      </c>
      <c r="B56" s="673" t="s">
        <v>1045</v>
      </c>
      <c r="C56" s="673" t="s">
        <v>1046</v>
      </c>
      <c r="D56" s="510" t="s">
        <v>74</v>
      </c>
      <c r="E56" s="504" t="s">
        <v>2041</v>
      </c>
      <c r="F56" s="504" t="s">
        <v>1489</v>
      </c>
      <c r="G56" s="504" t="s">
        <v>19</v>
      </c>
      <c r="H56" s="504" t="s">
        <v>19</v>
      </c>
      <c r="I56" s="695"/>
      <c r="J56" s="691" t="s">
        <v>1367</v>
      </c>
      <c r="K56" s="621" t="s">
        <v>2001</v>
      </c>
      <c r="L56" s="601" t="s">
        <v>2002</v>
      </c>
      <c r="M56" s="602" t="s">
        <v>2003</v>
      </c>
      <c r="N56" s="603" t="s">
        <v>2004</v>
      </c>
      <c r="O56" s="604" t="s">
        <v>2005</v>
      </c>
      <c r="P56" s="439"/>
      <c r="Q56" s="742" t="s">
        <v>2006</v>
      </c>
      <c r="R56" s="743"/>
      <c r="S56" s="742"/>
      <c r="T56" s="743"/>
    </row>
    <row r="57" spans="1:20" s="786" customFormat="1" ht="140">
      <c r="A57" s="698" t="s">
        <v>5</v>
      </c>
      <c r="B57" s="504" t="s">
        <v>1434</v>
      </c>
      <c r="C57" s="673" t="s">
        <v>1188</v>
      </c>
      <c r="D57" s="510" t="s">
        <v>1673</v>
      </c>
      <c r="E57" s="257" t="s">
        <v>2101</v>
      </c>
      <c r="F57" s="504" t="s">
        <v>17</v>
      </c>
      <c r="G57" s="510" t="s">
        <v>17</v>
      </c>
      <c r="H57" s="510" t="s">
        <v>19</v>
      </c>
      <c r="I57" s="695" t="s">
        <v>17</v>
      </c>
      <c r="J57" s="691" t="s">
        <v>1367</v>
      </c>
      <c r="K57" s="778" t="s">
        <v>969</v>
      </c>
      <c r="L57" s="787" t="s">
        <v>970</v>
      </c>
      <c r="M57" s="788" t="s">
        <v>971</v>
      </c>
      <c r="N57" s="789" t="s">
        <v>972</v>
      </c>
      <c r="O57" s="790" t="s">
        <v>973</v>
      </c>
      <c r="P57" s="785"/>
      <c r="Q57" s="737" t="s">
        <v>1677</v>
      </c>
      <c r="R57" s="739" t="s">
        <v>1984</v>
      </c>
      <c r="S57" s="742" t="s">
        <v>2154</v>
      </c>
      <c r="T57" s="743" t="s">
        <v>2155</v>
      </c>
    </row>
    <row r="58" spans="1:20" s="623" customFormat="1" ht="30">
      <c r="A58" s="698" t="s">
        <v>5</v>
      </c>
      <c r="B58" s="504" t="s">
        <v>1434</v>
      </c>
      <c r="C58" s="673" t="s">
        <v>1188</v>
      </c>
      <c r="D58" s="510" t="s">
        <v>1516</v>
      </c>
      <c r="E58" s="675" t="s">
        <v>1948</v>
      </c>
      <c r="F58" s="504" t="s">
        <v>1930</v>
      </c>
      <c r="G58" s="510" t="s">
        <v>17</v>
      </c>
      <c r="H58" s="510"/>
      <c r="I58" s="695" t="s">
        <v>17</v>
      </c>
      <c r="J58" s="691" t="s">
        <v>1367</v>
      </c>
      <c r="K58" s="778" t="s">
        <v>2160</v>
      </c>
      <c r="L58" s="774" t="s">
        <v>2161</v>
      </c>
      <c r="M58" s="775" t="s">
        <v>2162</v>
      </c>
      <c r="N58" s="776" t="s">
        <v>2163</v>
      </c>
      <c r="O58" s="777" t="s">
        <v>973</v>
      </c>
      <c r="P58" s="439"/>
      <c r="Q58" s="737" t="s">
        <v>1677</v>
      </c>
      <c r="R58" s="740" t="s">
        <v>1956</v>
      </c>
      <c r="S58" s="746"/>
      <c r="T58" s="740"/>
    </row>
    <row r="59" spans="1:20" s="623" customFormat="1" ht="22.75" customHeight="1">
      <c r="A59" s="698" t="s">
        <v>5</v>
      </c>
      <c r="B59" s="504" t="s">
        <v>1434</v>
      </c>
      <c r="C59" s="673" t="s">
        <v>1188</v>
      </c>
      <c r="D59" s="510" t="s">
        <v>1674</v>
      </c>
      <c r="E59" s="257" t="s">
        <v>2103</v>
      </c>
      <c r="F59" s="504" t="s">
        <v>1678</v>
      </c>
      <c r="G59" s="510" t="s">
        <v>17</v>
      </c>
      <c r="H59" s="510" t="s">
        <v>2134</v>
      </c>
      <c r="I59" s="695" t="s">
        <v>17</v>
      </c>
      <c r="J59" s="691" t="s">
        <v>1367</v>
      </c>
      <c r="K59" s="778" t="s">
        <v>2089</v>
      </c>
      <c r="L59" s="787" t="s">
        <v>2164</v>
      </c>
      <c r="M59" s="788" t="s">
        <v>2165</v>
      </c>
      <c r="N59" s="789" t="s">
        <v>2166</v>
      </c>
      <c r="O59" s="790" t="s">
        <v>2093</v>
      </c>
      <c r="P59" s="439"/>
      <c r="Q59" s="737" t="s">
        <v>2178</v>
      </c>
      <c r="R59" s="740" t="s">
        <v>2104</v>
      </c>
      <c r="S59" s="746"/>
      <c r="T59" s="740"/>
    </row>
    <row r="60" spans="1:20" s="623" customFormat="1" ht="20.399999999999999" customHeight="1">
      <c r="A60" s="698" t="s">
        <v>5</v>
      </c>
      <c r="B60" s="504" t="s">
        <v>1434</v>
      </c>
      <c r="C60" s="673" t="s">
        <v>1188</v>
      </c>
      <c r="D60" s="510" t="s">
        <v>1675</v>
      </c>
      <c r="E60" s="257" t="s">
        <v>2105</v>
      </c>
      <c r="F60" s="504" t="s">
        <v>1930</v>
      </c>
      <c r="G60" s="510" t="s">
        <v>17</v>
      </c>
      <c r="H60" s="510" t="s">
        <v>2134</v>
      </c>
      <c r="I60" s="695" t="s">
        <v>1660</v>
      </c>
      <c r="J60" s="691" t="s">
        <v>1367</v>
      </c>
      <c r="K60" s="778" t="s">
        <v>2167</v>
      </c>
      <c r="L60" s="787"/>
      <c r="M60" s="788" t="s">
        <v>2168</v>
      </c>
      <c r="N60" s="789"/>
      <c r="O60" s="790" t="s">
        <v>2096</v>
      </c>
      <c r="P60" s="439"/>
      <c r="Q60" s="737" t="s">
        <v>2179</v>
      </c>
      <c r="R60" s="740" t="s">
        <v>1984</v>
      </c>
      <c r="S60" s="746"/>
      <c r="T60" s="740"/>
    </row>
    <row r="61" spans="1:20" ht="30">
      <c r="A61" s="698" t="s">
        <v>5</v>
      </c>
      <c r="B61" s="504" t="s">
        <v>1434</v>
      </c>
      <c r="C61" s="673" t="s">
        <v>1188</v>
      </c>
      <c r="D61" s="510" t="s">
        <v>1672</v>
      </c>
      <c r="E61" s="675" t="s">
        <v>1948</v>
      </c>
      <c r="F61" s="504" t="s">
        <v>1659</v>
      </c>
      <c r="G61" s="510" t="s">
        <v>17</v>
      </c>
      <c r="H61" s="510"/>
      <c r="I61" s="695" t="s">
        <v>1659</v>
      </c>
      <c r="J61" s="691" t="s">
        <v>1367</v>
      </c>
      <c r="K61" s="778" t="s">
        <v>2169</v>
      </c>
      <c r="L61" s="774" t="s">
        <v>2170</v>
      </c>
      <c r="M61" s="775" t="s">
        <v>2171</v>
      </c>
      <c r="N61" s="776"/>
      <c r="O61" s="777" t="s">
        <v>2172</v>
      </c>
      <c r="P61" s="427"/>
      <c r="Q61" s="737" t="s">
        <v>2180</v>
      </c>
      <c r="R61" s="740" t="s">
        <v>1956</v>
      </c>
      <c r="S61" s="746"/>
      <c r="T61" s="740"/>
    </row>
    <row r="62" spans="1:20" ht="22.75" customHeight="1">
      <c r="A62" s="698" t="s">
        <v>5</v>
      </c>
      <c r="B62" s="504" t="s">
        <v>1434</v>
      </c>
      <c r="C62" s="673" t="s">
        <v>1188</v>
      </c>
      <c r="D62" s="510" t="s">
        <v>1676</v>
      </c>
      <c r="E62" s="257" t="s">
        <v>2102</v>
      </c>
      <c r="F62" s="504" t="s">
        <v>19</v>
      </c>
      <c r="G62" s="510" t="s">
        <v>17</v>
      </c>
      <c r="H62" s="510" t="s">
        <v>19</v>
      </c>
      <c r="I62" s="695" t="s">
        <v>17</v>
      </c>
      <c r="J62" s="691" t="s">
        <v>1367</v>
      </c>
      <c r="K62" s="778" t="s">
        <v>2173</v>
      </c>
      <c r="L62" s="787" t="s">
        <v>2174</v>
      </c>
      <c r="M62" s="788" t="s">
        <v>2175</v>
      </c>
      <c r="N62" s="789" t="s">
        <v>2176</v>
      </c>
      <c r="O62" s="790" t="s">
        <v>2177</v>
      </c>
      <c r="P62" s="427"/>
      <c r="Q62" s="737" t="s">
        <v>2100</v>
      </c>
      <c r="R62" s="740" t="s">
        <v>1984</v>
      </c>
      <c r="S62" s="742" t="s">
        <v>2156</v>
      </c>
      <c r="T62" s="740"/>
    </row>
    <row r="63" spans="1:20" ht="12.5">
      <c r="A63" s="700"/>
      <c r="G63" s="440"/>
      <c r="H63" s="438"/>
      <c r="M63" s="624"/>
    </row>
    <row r="64" spans="1:20">
      <c r="M64" s="624"/>
    </row>
    <row r="65" spans="13:13">
      <c r="M65" s="534" t="s">
        <v>790</v>
      </c>
    </row>
  </sheetData>
  <autoFilter ref="A8:O62" xr:uid="{3E075F71-617F-420C-8E24-DF8849D7D8D6}">
    <filterColumn colId="10" showButton="0"/>
    <filterColumn colId="11" showButton="0"/>
    <filterColumn colId="12" showButton="0"/>
    <filterColumn colId="13" showButton="0"/>
  </autoFilter>
  <mergeCells count="6">
    <mergeCell ref="A4:J4"/>
    <mergeCell ref="Q7:T7"/>
    <mergeCell ref="B7:C7"/>
    <mergeCell ref="D7:E7"/>
    <mergeCell ref="F7:I7"/>
    <mergeCell ref="K7:O7"/>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170FCC28-9FF0-470C-B153-71BA796920D6}">
          <x14:formula1>
            <xm:f>'D:\Dropbox\Work\OCHA Iraq (2017-2020)\C. HPC\2021 HPC\2021 HNO\4. Analysis\Methodology\Analytical Framework\Cluster feedback\[IRQ_2021HNO_Analysis_Framework_WASH.xlsx]Dropdown'!#REF!</xm:f>
          </x14:formula1>
          <xm:sqref>B57:B62</xm:sqref>
        </x14:dataValidation>
        <x14:dataValidation type="list" allowBlank="1" showInputMessage="1" showErrorMessage="1" xr:uid="{B96C0768-6209-40E6-90DE-055BF2C37EBD}">
          <x14:formula1>
            <xm:f>'D:\Dropbox\Work\OCHA Iraq (2017-2020)\C. HPC\2021 HPC\2021 HNO\4. Analysis\Methodology\Analytical Framework\[IRQ_2021HNO_Analysis-Framework (WORKING DRAFT 2020 08 25)_Comments REACH.xlsx]Dropdown'!#REF!</xm:f>
          </x14:formula1>
          <xm:sqref>B9:B56</xm:sqref>
        </x14:dataValidation>
        <x14:dataValidation type="list" allowBlank="1" showInputMessage="1" showErrorMessage="1" xr:uid="{B22017BE-331F-4442-B69B-A4598C4C90A9}">
          <x14:formula1>
            <xm:f>Dropdown!$E$1:$E$7</xm:f>
          </x14:formula1>
          <xm:sqref>C9:C62</xm:sqref>
        </x14:dataValidation>
        <x14:dataValidation type="list" allowBlank="1" showInputMessage="1" showErrorMessage="1" xr:uid="{EE6BE408-5536-4684-A6F1-02E0240BE708}">
          <x14:formula1>
            <xm:f>Dropdown!$A$1:$A$3</xm:f>
          </x14:formula1>
          <xm:sqref>I9:I62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89CE5-E162-4D23-9756-1044502CAFD8}">
  <sheetPr filterMode="1">
    <outlinePr summaryBelow="0" summaryRight="0"/>
  </sheetPr>
  <dimension ref="A1:U1000"/>
  <sheetViews>
    <sheetView zoomScale="75" zoomScaleNormal="60" workbookViewId="0">
      <pane xSplit="7" ySplit="2" topLeftCell="S5" activePane="bottomRight" state="frozen"/>
      <selection pane="topRight" activeCell="H1" sqref="H1"/>
      <selection pane="bottomLeft" activeCell="A3" sqref="A3"/>
      <selection pane="bottomRight" activeCell="U6" sqref="U6"/>
    </sheetView>
  </sheetViews>
  <sheetFormatPr defaultColWidth="14.453125" defaultRowHeight="12.5"/>
  <cols>
    <col min="1" max="1" width="5.453125" style="192" customWidth="1"/>
    <col min="2" max="2" width="9.81640625" style="192" customWidth="1"/>
    <col min="3" max="5" width="14.453125" style="192"/>
    <col min="6" max="6" width="24.1796875" style="192" customWidth="1"/>
    <col min="7" max="10" width="14.453125" style="192"/>
    <col min="11" max="15" width="21.453125" style="192" customWidth="1"/>
    <col min="16" max="16" width="37.453125" style="192" customWidth="1"/>
    <col min="17" max="18" width="15.6328125" style="191" customWidth="1"/>
    <col min="19" max="19" width="49.81640625" style="191" customWidth="1"/>
    <col min="20" max="21" width="64" style="191" customWidth="1"/>
    <col min="22" max="16384" width="14.453125" style="192"/>
  </cols>
  <sheetData>
    <row r="1" spans="1:21" ht="14">
      <c r="A1" s="251" t="str">
        <f ca="1">IFERROR(__xludf.DUMMYFUNCTION("importrange(""1EW0LkOygSDIHN0UHYA-HW_zFtCDzNW3pdxs6hCOrkvw"",""Consensus Results for Sharing!A1:p300"")"),"")</f>
        <v/>
      </c>
      <c r="B1" s="190"/>
      <c r="C1" s="190"/>
      <c r="D1" s="190"/>
      <c r="E1" s="190"/>
      <c r="F1" s="190"/>
      <c r="G1" s="190"/>
      <c r="H1" s="190"/>
      <c r="I1" s="190"/>
      <c r="J1" s="190"/>
      <c r="K1" s="190"/>
      <c r="L1" s="190"/>
      <c r="M1" s="190"/>
      <c r="N1" s="190"/>
      <c r="O1" s="190"/>
      <c r="P1" s="190"/>
    </row>
    <row r="2" spans="1:21" ht="26">
      <c r="A2" s="193" t="str">
        <f ca="1">IFERROR(__xludf.DUMMYFUNCTION("""COMPUTED_VALUE"""),"num")</f>
        <v>num</v>
      </c>
      <c r="B2" s="193" t="str">
        <f ca="1">IFERROR(__xludf.DUMMYFUNCTION("""COMPUTED_VALUE"""),"Sector")</f>
        <v>Sector</v>
      </c>
      <c r="C2" s="194" t="str">
        <f ca="1">IFERROR(__xludf.DUMMYFUNCTION("""COMPUTED_VALUE"""),"Sub- sector")</f>
        <v>Sub- sector</v>
      </c>
      <c r="D2" s="194" t="str">
        <f ca="1">IFERROR(__xludf.DUMMYFUNCTION("""COMPUTED_VALUE"""),"Pillar")</f>
        <v>Pillar</v>
      </c>
      <c r="E2" s="194" t="str">
        <f ca="1">IFERROR(__xludf.DUMMYFUNCTION("""COMPUTED_VALUE"""),"Sub pillar")</f>
        <v>Sub pillar</v>
      </c>
      <c r="F2" s="194" t="str">
        <f ca="1">IFERROR(__xludf.DUMMYFUNCTION("""COMPUTED_VALUE"""),"Indicator Name/label")</f>
        <v>Indicator Name/label</v>
      </c>
      <c r="G2" s="194" t="str">
        <f ca="1">IFERROR(__xludf.DUMMYFUNCTION("""COMPUTED_VALUE"""),"Forecast indicators")</f>
        <v>Forecast indicators</v>
      </c>
      <c r="H2" s="194" t="str">
        <f ca="1">IFERROR(__xludf.DUMMYFUNCTION("""COMPUTED_VALUE"""),"JIAF Priority level")</f>
        <v>JIAF Priority level</v>
      </c>
      <c r="I2" s="194" t="str">
        <f ca="1">IFERROR(__xludf.DUMMYFUNCTION("""COMPUTED_VALUE"""),"Data collection technique")</f>
        <v>Data collection technique</v>
      </c>
      <c r="J2" s="194" t="str">
        <f ca="1">IFERROR(__xludf.DUMMYFUNCTION("""COMPUTED_VALUE"""),"Recommended source")</f>
        <v>Recommended source</v>
      </c>
      <c r="K2" s="195">
        <f ca="1">IFERROR(__xludf.DUMMYFUNCTION("""COMPUTED_VALUE"""),1)</f>
        <v>1</v>
      </c>
      <c r="L2" s="196">
        <f ca="1">IFERROR(__xludf.DUMMYFUNCTION("""COMPUTED_VALUE"""),2)</f>
        <v>2</v>
      </c>
      <c r="M2" s="197">
        <f ca="1">IFERROR(__xludf.DUMMYFUNCTION("""COMPUTED_VALUE"""),3)</f>
        <v>3</v>
      </c>
      <c r="N2" s="198">
        <f ca="1">IFERROR(__xludf.DUMMYFUNCTION("""COMPUTED_VALUE"""),4)</f>
        <v>4</v>
      </c>
      <c r="O2" s="199">
        <f ca="1">IFERROR(__xludf.DUMMYFUNCTION("""COMPUTED_VALUE"""),5)</f>
        <v>5</v>
      </c>
      <c r="P2" s="200" t="str">
        <f ca="1">IFERROR(__xludf.DUMMYFUNCTION("""COMPUTED_VALUE"""),"Notes from indicator owner")</f>
        <v>Notes from indicator owner</v>
      </c>
      <c r="Q2" s="201" t="s">
        <v>1006</v>
      </c>
      <c r="R2" s="201" t="s">
        <v>1007</v>
      </c>
      <c r="S2" s="201" t="s">
        <v>1008</v>
      </c>
      <c r="T2" s="201" t="s">
        <v>1009</v>
      </c>
      <c r="U2" s="201" t="s">
        <v>1010</v>
      </c>
    </row>
    <row r="3" spans="1:21" ht="162.5">
      <c r="A3" s="202">
        <f ca="1">IFERROR(__xludf.DUMMYFUNCTION("""COMPUTED_VALUE"""),1)</f>
        <v>1</v>
      </c>
      <c r="B3" s="203" t="str">
        <f ca="1">IFERROR(__xludf.DUMMYFUNCTION("""COMPUTED_VALUE"""),"CCCM")</f>
        <v>CCCM</v>
      </c>
      <c r="C3" s="204"/>
      <c r="D3" s="205" t="str">
        <f ca="1">IFERROR(__xludf.DUMMYFUNCTION("""COMPUTED_VALUE"""),"Humanitarian Conditions")</f>
        <v>Humanitarian Conditions</v>
      </c>
      <c r="E3" s="205" t="str">
        <f ca="1">IFERROR(__xludf.DUMMYFUNCTION("""COMPUTED_VALUE"""),"Living Standards")</f>
        <v>Living Standards</v>
      </c>
      <c r="F3" s="350" t="str">
        <f ca="1">IFERROR(__xludf.DUMMYFUNCTION("""COMPUTED_VALUE"""),"% of population in sites with access to functioning complaints and feedback mechanisms")</f>
        <v>% of population in sites with access to functioning complaints and feedback mechanisms</v>
      </c>
      <c r="G3" s="204"/>
      <c r="H3" s="204">
        <f ca="1">IFERROR(__xludf.DUMMYFUNCTION("""COMPUTED_VALUE"""),1)</f>
        <v>1</v>
      </c>
      <c r="I3" s="204" t="str">
        <f ca="1">IFERROR(__xludf.DUMMYFUNCTION("""COMPUTED_VALUE"""),"HH survey / KI")</f>
        <v>HH survey / KI</v>
      </c>
      <c r="J3" s="204" t="str">
        <f ca="1">IFERROR(__xludf.DUMMYFUNCTION("""COMPUTED_VALUE"""),"CCCM Cluster")</f>
        <v>CCCM Cluster</v>
      </c>
      <c r="K3" s="351" t="str">
        <f ca="1">IFERROR(__xludf.DUMMYFUNCTION("""COMPUTED_VALUE"""),"All four of the following criteria met:
 HH is aware of the existence of CFM;
 the CFM is easy to use;
 the CFM is appropriate for the population (no language, gender or imparement limitations);
 it's trusted for confidentiality, response, timeliness and "&amp;"sensitive issues")</f>
        <v>All four of the following criteria met:
 HH is aware of the existence of CFM;
 the CFM is easy to use;
 the CFM is appropriate for the population (no language, gender or imparement limitations);
 it's trusted for confidentiality, response, timeliness and sensitive issues</v>
      </c>
      <c r="L3" s="351" t="str">
        <f ca="1">IFERROR(__xludf.DUMMYFUNCTION("""COMPUTED_VALUE"""),"Three of the following criteria met:
 HH is aware of the existence of CFM;
 the CFM is easy to use;
 the CFM is appropriate for the population (no language, gender or imparement limitations);
 it's trusted for confidentiality, response, timeliness and sen"&amp;"sitive issues")</f>
        <v>Three of the following criteria met:
 HH is aware of the existence of CFM;
 the CFM is easy to use;
 the CFM is appropriate for the population (no language, gender or imparement limitations);
 it's trusted for confidentiality, response, timeliness and sensitive issues</v>
      </c>
      <c r="M3" s="351" t="str">
        <f ca="1">IFERROR(__xludf.DUMMYFUNCTION("""COMPUTED_VALUE"""),"Two of the following criteria met:
 HH is aware of the existence of CFM;
 the CFM is easy to use;
 the CFM is appropriate for the population (no language, gender or imparement limitations);
 it's trusted for confidentiality, response, timeliness and sensi"&amp;"tive issues")</f>
        <v>Two of the following criteria met:
 HH is aware of the existence of CFM;
 the CFM is easy to use;
 the CFM is appropriate for the population (no language, gender or imparement limitations);
 it's trusted for confidentiality, response, timeliness and sensitive issues</v>
      </c>
      <c r="N3" s="351" t="str">
        <f ca="1">IFERROR(__xludf.DUMMYFUNCTION("""COMPUTED_VALUE"""),"One of the following criteria met:
 HH is aware of the existence of CFM;
 the CFM is easy to use;
 the CFM is appropriate for the population (no language, gender or imparement limitations);
 it's trusted for confidentiality, response, timeliness and sensi"&amp;"tive issues")</f>
        <v>One of the following criteria met:
 HH is aware of the existence of CFM;
 the CFM is easy to use;
 the CFM is appropriate for the population (no language, gender or imparement limitations);
 it's trusted for confidentiality, response, timeliness and sensitive issues</v>
      </c>
      <c r="O3" s="351" t="str">
        <f ca="1">IFERROR(__xludf.DUMMYFUNCTION("""COMPUTED_VALUE"""),"None of the following criteria met:
 HH is aware of the existence of CFM;
 the CFM is easy to use;
 the CFM is appropriate for the population (no language, gender or imparement limitations);
 it's trusted for confidentiality, response, timeliness and sens"&amp;"itive issues")</f>
        <v>None of the following criteria met:
 HH is aware of the existence of CFM;
 the CFM is easy to use;
 the CFM is appropriate for the population (no language, gender or imparement limitations);
 it's trusted for confidentiality, response, timeliness and sensitive issues</v>
      </c>
      <c r="P3" s="207"/>
      <c r="Q3" s="208" t="s">
        <v>1011</v>
      </c>
      <c r="R3" s="208" t="s">
        <v>1012</v>
      </c>
      <c r="S3" s="208" t="s">
        <v>1013</v>
      </c>
      <c r="T3" s="208" t="s">
        <v>1014</v>
      </c>
      <c r="U3" s="208" t="s">
        <v>1015</v>
      </c>
    </row>
    <row r="4" spans="1:21" ht="62.5">
      <c r="A4" s="202">
        <f ca="1">IFERROR(__xludf.DUMMYFUNCTION("""COMPUTED_VALUE"""),2)</f>
        <v>2</v>
      </c>
      <c r="B4" s="203" t="str">
        <f ca="1">IFERROR(__xludf.DUMMYFUNCTION("""COMPUTED_VALUE"""),"CCCM")</f>
        <v>CCCM</v>
      </c>
      <c r="C4" s="204"/>
      <c r="D4" s="205" t="str">
        <f ca="1">IFERROR(__xludf.DUMMYFUNCTION("""COMPUTED_VALUE"""),"Humanitarian Conditions")</f>
        <v>Humanitarian Conditions</v>
      </c>
      <c r="E4" s="205" t="str">
        <f ca="1">IFERROR(__xludf.DUMMYFUNCTION("""COMPUTED_VALUE"""),"Living Standards")</f>
        <v>Living Standards</v>
      </c>
      <c r="F4" s="203" t="str">
        <f ca="1">IFERROR(__xludf.DUMMYFUNCTION("""COMPUTED_VALUE"""),"% of population in sites with appropriate site management services")</f>
        <v>% of population in sites with appropriate site management services</v>
      </c>
      <c r="G4" s="204"/>
      <c r="H4" s="204">
        <f ca="1">IFERROR(__xludf.DUMMYFUNCTION("""COMPUTED_VALUE"""),1)</f>
        <v>1</v>
      </c>
      <c r="I4" s="204" t="str">
        <f ca="1">IFERROR(__xludf.DUMMYFUNCTION("""COMPUTED_VALUE"""),"KI")</f>
        <v>KI</v>
      </c>
      <c r="J4" s="204" t="str">
        <f ca="1">IFERROR(__xludf.DUMMYFUNCTION("""COMPUTED_VALUE"""),"CCCM Cluster")</f>
        <v>CCCM Cluster</v>
      </c>
      <c r="K4" s="206" t="str">
        <f ca="1">IFERROR(__xludf.DUMMYFUNCTION("""COMPUTED_VALUE"""),"Size or type of site that does not require site management activities")</f>
        <v>Size or type of site that does not require site management activities</v>
      </c>
      <c r="L4" s="206" t="str">
        <f ca="1">IFERROR(__xludf.DUMMYFUNCTION("""COMPUTED_VALUE"""),"Size or type of site that requires infrequent or low level of site management activities")</f>
        <v>Size or type of site that requires infrequent or low level of site management activities</v>
      </c>
      <c r="M4" s="206" t="str">
        <f ca="1">IFERROR(__xludf.DUMMYFUNCTION("""COMPUTED_VALUE"""),"Size or type of site that requires a moderate range of site managemnt services")</f>
        <v>Size or type of site that requires a moderate range of site managemnt services</v>
      </c>
      <c r="N4" s="206" t="str">
        <f ca="1">IFERROR(__xludf.DUMMYFUNCTION("""COMPUTED_VALUE"""),"Size or type of site that requires a wide range of site management service")</f>
        <v>Size or type of site that requires a wide range of site management service</v>
      </c>
      <c r="O4" s="206" t="str">
        <f ca="1">IFERROR(__xludf.DUMMYFUNCTION("""COMPUTED_VALUE"""),"Size or type of site that requires a comprehensive range of site management services")</f>
        <v>Size or type of site that requires a comprehensive range of site management services</v>
      </c>
      <c r="P4" s="207"/>
      <c r="Q4" s="209" t="s">
        <v>17</v>
      </c>
      <c r="R4" s="209" t="s">
        <v>17</v>
      </c>
      <c r="S4" s="209" t="s">
        <v>1016</v>
      </c>
      <c r="T4" s="209" t="s">
        <v>1017</v>
      </c>
      <c r="U4" s="209" t="s">
        <v>1018</v>
      </c>
    </row>
    <row r="5" spans="1:21" ht="179" customHeight="1">
      <c r="A5" s="202">
        <f ca="1">IFERROR(__xludf.DUMMYFUNCTION("""COMPUTED_VALUE"""),3)</f>
        <v>3</v>
      </c>
      <c r="B5" s="203" t="str">
        <f ca="1">IFERROR(__xludf.DUMMYFUNCTION("""COMPUTED_VALUE"""),"CCCM")</f>
        <v>CCCM</v>
      </c>
      <c r="C5" s="204"/>
      <c r="D5" s="205" t="str">
        <f ca="1">IFERROR(__xludf.DUMMYFUNCTION("""COMPUTED_VALUE"""),"Humanitarian Conditions")</f>
        <v>Humanitarian Conditions</v>
      </c>
      <c r="E5" s="205" t="str">
        <f ca="1">IFERROR(__xludf.DUMMYFUNCTION("""COMPUTED_VALUE"""),"Living Standards")</f>
        <v>Living Standards</v>
      </c>
      <c r="F5" s="203" t="str">
        <f ca="1">IFERROR(__xludf.DUMMYFUNCTION("""COMPUTED_VALUE"""),"% of population in sites with inclusive and representative governance structures")</f>
        <v>% of population in sites with inclusive and representative governance structures</v>
      </c>
      <c r="G5" s="204"/>
      <c r="H5" s="204">
        <f ca="1">IFERROR(__xludf.DUMMYFUNCTION("""COMPUTED_VALUE"""),1)</f>
        <v>1</v>
      </c>
      <c r="I5" s="204" t="str">
        <f ca="1">IFERROR(__xludf.DUMMYFUNCTION("""COMPUTED_VALUE"""),"HH survey / KI")</f>
        <v>HH survey / KI</v>
      </c>
      <c r="J5" s="204" t="str">
        <f ca="1">IFERROR(__xludf.DUMMYFUNCTION("""COMPUTED_VALUE"""),"CCCM Cluster")</f>
        <v>CCCM Cluster</v>
      </c>
      <c r="K5" s="206" t="str">
        <f ca="1">IFERROR(__xludf.DUMMYFUNCTION("""COMPUTED_VALUE"""),"All of the following criteria met: governance structures are representative of the site population; decision-making procesesses include view of women, children, vulnerable groups and host community; governance structures are accountable; governance repres"&amp;"entatives have sufficent capacity and resources")</f>
        <v>All of the following criteria met: governance structures are representative of the site population; decision-making procesesses include view of women, children, vulnerable groups and host community; governance structures are accountable; governance representatives have sufficent capacity and resources</v>
      </c>
      <c r="L5" s="206" t="str">
        <f ca="1">IFERROR(__xludf.DUMMYFUNCTION("""COMPUTED_VALUE"""),"Three of the following criteria met:
 governance structures are representative of the site population; decision-making procesesses include view of women, children, vulnerable groups and host community; governance structures are accountable; governance rep"&amp;"resentatives have sufficent capacity and resources")</f>
        <v>Three of the following criteria met:
 governance structures are representative of the site population; decision-making procesesses include view of women, children, vulnerable groups and host community; governance structures are accountable; governance representatives have sufficent capacity and resources</v>
      </c>
      <c r="M5" s="206" t="str">
        <f ca="1">IFERROR(__xludf.DUMMYFUNCTION("""COMPUTED_VALUE"""),"Two of the following criteria met: 
 governance structures are representative of the site population; decision-making procesesses include view of women, children, vulnerable groups and host community; governance structures are accountable; governance repr"&amp;"esentatives have sufficent capacity and resources")</f>
        <v>Two of the following criteria met: 
 governance structures are representative of the site population; decision-making procesesses include view of women, children, vulnerable groups and host community; governance structures are accountable; governance representatives have sufficent capacity and resources</v>
      </c>
      <c r="N5" s="206" t="str">
        <f ca="1">IFERROR(__xludf.DUMMYFUNCTION("""COMPUTED_VALUE"""),"One of the following criteria met: 
 governance structures are representative of the site population; decision-making procesesses include view of women, children, vulnerable groups and host community; governance structures are accountable; governance repr"&amp;"esentatives have sufficent capacity and resources")</f>
        <v>One of the following criteria met: 
 governance structures are representative of the site population; decision-making procesesses include view of women, children, vulnerable groups and host community; governance structures are accountable; governance representatives have sufficent capacity and resources</v>
      </c>
      <c r="O5" s="206" t="str">
        <f ca="1">IFERROR(__xludf.DUMMYFUNCTION("""COMPUTED_VALUE"""),"None of the following criteria met: 
 governance structures are representative of the site population; decision-making procesesses include view of women, children, vulnerable groups and host community; governance structures are accountable; governance rep"&amp;"resentatives have sufficent capacity and resources")</f>
        <v>None of the following criteria met: 
 governance structures are representative of the site population; decision-making procesesses include view of women, children, vulnerable groups and host community; governance structures are accountable; governance representatives have sufficent capacity and resources</v>
      </c>
      <c r="P5" s="207"/>
      <c r="Q5" s="210" t="s">
        <v>17</v>
      </c>
      <c r="R5" s="210" t="s">
        <v>1019</v>
      </c>
      <c r="S5" s="210" t="s">
        <v>1020</v>
      </c>
      <c r="T5" s="210" t="s">
        <v>1021</v>
      </c>
      <c r="U5" s="210" t="s">
        <v>1015</v>
      </c>
    </row>
    <row r="6" spans="1:21" ht="250">
      <c r="A6" s="202">
        <f ca="1">IFERROR(__xludf.DUMMYFUNCTION("""COMPUTED_VALUE"""),4)</f>
        <v>4</v>
      </c>
      <c r="B6" s="203" t="str">
        <f ca="1">IFERROR(__xludf.DUMMYFUNCTION("""COMPUTED_VALUE"""),"CCCM")</f>
        <v>CCCM</v>
      </c>
      <c r="C6" s="204"/>
      <c r="D6" s="205" t="str">
        <f ca="1">IFERROR(__xludf.DUMMYFUNCTION("""COMPUTED_VALUE"""),"Humanitarian Conditions")</f>
        <v>Humanitarian Conditions</v>
      </c>
      <c r="E6" s="205" t="str">
        <f ca="1">IFERROR(__xludf.DUMMYFUNCTION("""COMPUTED_VALUE"""),"Living Standards")</f>
        <v>Living Standards</v>
      </c>
      <c r="F6" s="203" t="str">
        <f ca="1">IFERROR(__xludf.DUMMYFUNCTION("""COMPUTED_VALUE"""),"% of population with access to basic services within walking distance")</f>
        <v>% of population with access to basic services within walking distance</v>
      </c>
      <c r="G6" s="204"/>
      <c r="H6" s="204">
        <f ca="1">IFERROR(__xludf.DUMMYFUNCTION("""COMPUTED_VALUE"""),1)</f>
        <v>1</v>
      </c>
      <c r="I6" s="204" t="str">
        <f ca="1">IFERROR(__xludf.DUMMYFUNCTION("""COMPUTED_VALUE"""),"HH survey / KI")</f>
        <v>HH survey / KI</v>
      </c>
      <c r="J6" s="204" t="str">
        <f ca="1">IFERROR(__xludf.DUMMYFUNCTION("""COMPUTED_VALUE"""),"CCCM Cluster")</f>
        <v>CCCM Cluster</v>
      </c>
      <c r="K6" s="206" t="str">
        <f ca="1">IFERROR(__xludf.DUMMYFUNCTION("""COMPUTED_VALUE"""),"All basic services are available within a 30 min walking distance (one way)")</f>
        <v>All basic services are available within a 30 min walking distance (one way)</v>
      </c>
      <c r="L6" s="206" t="str">
        <f ca="1">IFERROR(__xludf.DUMMYFUNCTION("""COMPUTED_VALUE"""),"All basic services are available within a one hour walking distance (one way)")</f>
        <v>All basic services are available within a one hour walking distance (one way)</v>
      </c>
      <c r="M6" s="206" t="str">
        <f ca="1">IFERROR(__xludf.DUMMYFUNCTION("""COMPUTED_VALUE"""),"All basic services are available within a 1h30 walking distance (one way)")</f>
        <v>All basic services are available within a 1h30 walking distance (one way)</v>
      </c>
      <c r="N6" s="206" t="str">
        <f ca="1">IFERROR(__xludf.DUMMYFUNCTION("""COMPUTED_VALUE"""),"All basic services are available within a 2 hours walking distance (one way)")</f>
        <v>All basic services are available within a 2 hours walking distance (one way)</v>
      </c>
      <c r="O6" s="206" t="str">
        <f ca="1">IFERROR(__xludf.DUMMYFUNCTION("""COMPUTED_VALUE"""),"No basic services are available within a 2 hours walking distance (one way)")</f>
        <v>No basic services are available within a 2 hours walking distance (one way)</v>
      </c>
      <c r="P6" s="207" t="str">
        <f ca="1">IFERROR(__xludf.DUMMYFUNCTION("""COMPUTED_VALUE"""),"Basic services should be defined at country level: Drinking water, primary and secondary schools, food market, NFI market, Shelter construction market, health center, hospital, pharmacy, veterinary services, transport services, water, electricity, livesto"&amp;"ck market, waste removal, communication device. Distance should be collected for each service. If data is collected at the HH level, then ask from the house. if data is collected from KI, then specify if from the center of the camp or a cleary localized s"&amp;"pot. We are not checking here distance to personal itemas such as latrines etc, only  community services.")</f>
        <v>Basic services should be defined at country level: Drinking water, primary and secondary schools, food market, NFI market, Shelter construction market, health center, hospital, pharmacy, veterinary services, transport services, water, electricity, livestock market, waste removal, communication device. Distance should be collected for each service. If data is collected at the HH level, then ask from the house. if data is collected from KI, then specify if from the center of the camp or a cleary localized spot. We are not checking here distance to personal itemas such as latrines etc, only  community services.</v>
      </c>
      <c r="Q6" s="210" t="s">
        <v>17</v>
      </c>
      <c r="R6" s="210" t="s">
        <v>17</v>
      </c>
      <c r="S6" s="210"/>
      <c r="T6" s="210" t="s">
        <v>1022</v>
      </c>
      <c r="U6" s="210" t="s">
        <v>1023</v>
      </c>
    </row>
    <row r="7" spans="1:21" ht="125">
      <c r="A7" s="202">
        <f ca="1">IFERROR(__xludf.DUMMYFUNCTION("""COMPUTED_VALUE"""),5)</f>
        <v>5</v>
      </c>
      <c r="B7" s="203" t="str">
        <f ca="1">IFERROR(__xludf.DUMMYFUNCTION("""COMPUTED_VALUE"""),"CCCM")</f>
        <v>CCCM</v>
      </c>
      <c r="C7" s="204"/>
      <c r="D7" s="205" t="str">
        <f ca="1">IFERROR(__xludf.DUMMYFUNCTION("""COMPUTED_VALUE"""),"Impact")</f>
        <v>Impact</v>
      </c>
      <c r="E7" s="205" t="str">
        <f ca="1">IFERROR(__xludf.DUMMYFUNCTION("""COMPUTED_VALUE"""),"Impact on people")</f>
        <v>Impact on people</v>
      </c>
      <c r="F7" s="203" t="str">
        <f ca="1">IFERROR(__xludf.DUMMYFUNCTION("""COMPUTED_VALUE"""),"% of population in sites")</f>
        <v>% of population in sites</v>
      </c>
      <c r="G7" s="204" t="str">
        <f ca="1">IFERROR(__xludf.DUMMYFUNCTION("""COMPUTED_VALUE"""),"Projected % increase of population in sites over the next XX months 
Projected % of population in sites likely to remain in the next XX months")</f>
        <v>Projected % increase of population in sites over the next XX months 
Projected % of population in sites likely to remain in the next XX months</v>
      </c>
      <c r="H7" s="204">
        <f ca="1">IFERROR(__xludf.DUMMYFUNCTION("""COMPUTED_VALUE"""),0)</f>
        <v>0</v>
      </c>
      <c r="I7" s="204" t="str">
        <f ca="1">IFERROR(__xludf.DUMMYFUNCTION("""COMPUTED_VALUE"""),"KI")</f>
        <v>KI</v>
      </c>
      <c r="J7" s="204" t="str">
        <f ca="1">IFERROR(__xludf.DUMMYFUNCTION("""COMPUTED_VALUE"""),"CCCM Cluster")</f>
        <v>CCCM Cluster</v>
      </c>
      <c r="K7" s="206"/>
      <c r="L7" s="206"/>
      <c r="M7" s="206"/>
      <c r="N7" s="206"/>
      <c r="O7" s="206"/>
      <c r="P7" s="207"/>
      <c r="Q7" s="210" t="s">
        <v>17</v>
      </c>
      <c r="R7" s="210" t="s">
        <v>17</v>
      </c>
      <c r="S7" s="210" t="s">
        <v>1024</v>
      </c>
      <c r="T7" s="210" t="s">
        <v>1025</v>
      </c>
      <c r="U7" s="210" t="s">
        <v>1026</v>
      </c>
    </row>
    <row r="8" spans="1:21" ht="175">
      <c r="A8" s="202">
        <f ca="1">IFERROR(__xludf.DUMMYFUNCTION("""COMPUTED_VALUE"""),6)</f>
        <v>6</v>
      </c>
      <c r="B8" s="203" t="str">
        <f ca="1">IFERROR(__xludf.DUMMYFUNCTION("""COMPUTED_VALUE"""),"CCCM")</f>
        <v>CCCM</v>
      </c>
      <c r="C8" s="204"/>
      <c r="D8" s="205" t="str">
        <f ca="1">IFERROR(__xludf.DUMMYFUNCTION("""COMPUTED_VALUE"""),"Impact")</f>
        <v>Impact</v>
      </c>
      <c r="E8" s="205" t="str">
        <f ca="1">IFERROR(__xludf.DUMMYFUNCTION("""COMPUTED_VALUE"""),"Impact on Services")</f>
        <v>Impact on Services</v>
      </c>
      <c r="F8" s="203" t="str">
        <f ca="1">IFERROR(__xludf.DUMMYFUNCTION("""COMPUTED_VALUE"""),"% of population in sites that are physically and socially appropriate site environments")</f>
        <v>% of population in sites that are physically and socially appropriate site environments</v>
      </c>
      <c r="G8" s="204"/>
      <c r="H8" s="204">
        <f ca="1">IFERROR(__xludf.DUMMYFUNCTION("""COMPUTED_VALUE"""),1)</f>
        <v>1</v>
      </c>
      <c r="I8" s="204" t="str">
        <f ca="1">IFERROR(__xludf.DUMMYFUNCTION("""COMPUTED_VALUE"""),"HH survey / KI")</f>
        <v>HH survey / KI</v>
      </c>
      <c r="J8" s="204" t="str">
        <f ca="1">IFERROR(__xludf.DUMMYFUNCTION("""COMPUTED_VALUE"""),"CCCM Cluster")</f>
        <v>CCCM Cluster</v>
      </c>
      <c r="K8" s="206" t="str">
        <f ca="1">IFERROR(__xludf.DUMMYFUNCTION("""COMPUTED_VALUE"""),"All four of the following criteria met:
 The site is not located in an area of high risk of natural hazards (flooding, landslide etc)
 The site has a functional and appropriate administrative space;
 The site has functional and appropriate social and comm"&amp;"unal spaces;
 Site facilities are maintained")</f>
        <v>All four of the following criteria met:
 The site is not located in an area of high risk of natural hazards (flooding, landslide etc)
 The site has a functional and appropriate administrative space;
 The site has functional and appropriate social and communal spaces;
 Site facilities are maintained</v>
      </c>
      <c r="L8" s="206" t="str">
        <f ca="1">IFERROR(__xludf.DUMMYFUNCTION("""COMPUTED_VALUE"""),"Three of the following criteria met:
 The site is not located in an area of high risk of natural hazards (flooding, landslide etc)
 The site has a functional and appropriate administrative space;
 The site has functional and appropriate social and communa"&amp;"l spaces;
 Site facilities are maintained")</f>
        <v>Three of the following criteria met:
 The site is not located in an area of high risk of natural hazards (flooding, landslide etc)
 The site has a functional and appropriate administrative space;
 The site has functional and appropriate social and communal spaces;
 Site facilities are maintained</v>
      </c>
      <c r="M8" s="206" t="str">
        <f ca="1">IFERROR(__xludf.DUMMYFUNCTION("""COMPUTED_VALUE"""),"Two of the following criteria met:
 The site is not located in an area of high risk of natural hazards (flooding, landslide etc)
 The site has a functional and appropriate administrative space;
 The site has functional and appropriate social and communal "&amp;"spaces;
 Site facilities are maintained")</f>
        <v>Two of the following criteria met:
 The site is not located in an area of high risk of natural hazards (flooding, landslide etc)
 The site has a functional and appropriate administrative space;
 The site has functional and appropriate social and communal spaces;
 Site facilities are maintained</v>
      </c>
      <c r="N8" s="206" t="str">
        <f ca="1">IFERROR(__xludf.DUMMYFUNCTION("""COMPUTED_VALUE"""),"One of the following criteria met:
 The site is not located in an area of high risk of natural hazards (flooding, landslide etc)
 The site has a functional and appropriate administrative space;
 The site has functional and appropriate social and communal "&amp;"spaces;
 Site facilities are maintained")</f>
        <v>One of the following criteria met:
 The site is not located in an area of high risk of natural hazards (flooding, landslide etc)
 The site has a functional and appropriate administrative space;
 The site has functional and appropriate social and communal spaces;
 Site facilities are maintained</v>
      </c>
      <c r="O8" s="206" t="str">
        <f ca="1">IFERROR(__xludf.DUMMYFUNCTION("""COMPUTED_VALUE"""),"None of the following criteria met:
 The site is not located in an area of high risk of natural hazards (flooding, landslide etc)
 The site has a functional and appropriate administrative space;
 The site has functional and appropriate social and communal"&amp;" spaces;
 Site facilities are maintained")</f>
        <v>None of the following criteria met:
 The site is not located in an area of high risk of natural hazards (flooding, landslide etc)
 The site has a functional and appropriate administrative space;
 The site has functional and appropriate social and communal spaces;
 Site facilities are maintained</v>
      </c>
      <c r="P8" s="207"/>
      <c r="Q8" s="211" t="s">
        <v>1027</v>
      </c>
      <c r="R8" s="211" t="s">
        <v>1028</v>
      </c>
      <c r="S8" s="211" t="s">
        <v>1029</v>
      </c>
      <c r="T8" s="211" t="s">
        <v>1030</v>
      </c>
      <c r="U8" s="211" t="s">
        <v>1031</v>
      </c>
    </row>
    <row r="9" spans="1:21" ht="87.5" hidden="1">
      <c r="A9" s="202">
        <f ca="1">IFERROR(__xludf.DUMMYFUNCTION("""COMPUTED_VALUE"""),7)</f>
        <v>7</v>
      </c>
      <c r="B9" s="212" t="str">
        <f ca="1">IFERROR(__xludf.DUMMYFUNCTION("""COMPUTED_VALUE"""),"Cross")</f>
        <v>Cross</v>
      </c>
      <c r="C9" s="212" t="str">
        <f ca="1">IFERROR(__xludf.DUMMYFUNCTION("""COMPUTED_VALUE"""),"Disability")</f>
        <v>Disability</v>
      </c>
      <c r="D9" s="213" t="str">
        <f ca="1">IFERROR(__xludf.DUMMYFUNCTION("""COMPUTED_VALUE"""),"Humanitarian conditions")</f>
        <v>Humanitarian conditions</v>
      </c>
      <c r="E9" s="213" t="str">
        <f ca="1">IFERROR(__xludf.DUMMYFUNCTION("""COMPUTED_VALUE"""),"Physical and Mental Wellbeing")</f>
        <v>Physical and Mental Wellbeing</v>
      </c>
      <c r="F9" s="213" t="str">
        <f ca="1">IFERROR(__xludf.DUMMYFUNCTION("""COMPUTED_VALUE"""),"% of the population identified as having disabilities (in line with the Washington Group Questions)")</f>
        <v>% of the population identified as having disabilities (in line with the Washington Group Questions)</v>
      </c>
      <c r="G9" s="212"/>
      <c r="H9" s="212">
        <f ca="1">IFERROR(__xludf.DUMMYFUNCTION("""COMPUTED_VALUE"""),1)</f>
        <v>1</v>
      </c>
      <c r="I9" s="212" t="str">
        <f ca="1">IFERROR(__xludf.DUMMYFUNCTION("""COMPUTED_VALUE"""),"HH survey")</f>
        <v>HH survey</v>
      </c>
      <c r="J9" s="212" t="str">
        <f ca="1">IFERROR(__xludf.DUMMYFUNCTION("""COMPUTED_VALUE"""),"HH or Individual level survey")</f>
        <v>HH or Individual level survey</v>
      </c>
      <c r="K9" s="213" t="str">
        <f ca="1">IFERROR(__xludf.DUMMYFUNCTION("""COMPUTED_VALUE"""),"All domains are no difficulties")</f>
        <v>All domains are no difficulties</v>
      </c>
      <c r="L9" s="213" t="str">
        <f ca="1">IFERROR(__xludf.DUMMYFUNCTION("""COMPUTED_VALUE"""),"No domain is a lot of difficulties or cannot do at all, 1, 2, or 3 domains are some difficulties")</f>
        <v>No domain is a lot of difficulties or cannot do at all, 1, 2, or 3 domains are some difficulties</v>
      </c>
      <c r="M9" s="213" t="str">
        <f ca="1">IFERROR(__xludf.DUMMYFUNCTION("""COMPUTED_VALUE"""),"No domain is cannot do at all, 1, 2, or 3 domains are a lot of difficulties OR no domain is a lot of difficulties or cannot do at all; at least 4 domains are some difficulties")</f>
        <v>No domain is cannot do at all, 1, 2, or 3 domains are a lot of difficulties OR no domain is a lot of difficulties or cannot do at all; at least 4 domains are some difficulties</v>
      </c>
      <c r="N9" s="213" t="str">
        <f ca="1">IFERROR(__xludf.DUMMYFUNCTION("""COMPUTED_VALUE"""),"No domain is cannot do at all, 1, 2, or 3 domains are a lot of difficulties OR no domain is a lot of difficulties or cannot do at all; at least 4 domains are some difficulties")</f>
        <v>No domain is cannot do at all, 1, 2, or 3 domains are a lot of difficulties OR no domain is a lot of difficulties or cannot do at all; at least 4 domains are some difficulties</v>
      </c>
      <c r="O9" s="213" t="str">
        <f ca="1">IFERROR(__xludf.DUMMYFUNCTION("""COMPUTED_VALUE"""),"At least 4 domains are cannot do all")</f>
        <v>At least 4 domains are cannot do all</v>
      </c>
      <c r="P9" s="214" t="str">
        <f ca="1">IFERROR(__xludf.DUMMYFUNCTION("""COMPUTED_VALUE"""),"These thresholds are for individuals - we are not sure how they can be used at the household/area level.  This indicator will likely have to be shifted slightly for use in JIAG so that it's not focused on % of population but rather by severity of disabili"&amp;"ties.  We are still following up on this.")</f>
        <v>These thresholds are for individuals - we are not sure how they can be used at the household/area level.  This indicator will likely have to be shifted slightly for use in JIAG so that it's not focused on % of population but rather by severity of disabilities.  We are still following up on this.</v>
      </c>
      <c r="Q9" s="215"/>
      <c r="R9" s="215"/>
      <c r="S9" s="215"/>
      <c r="T9" s="216"/>
      <c r="U9" s="216"/>
    </row>
    <row r="10" spans="1:21" ht="75" hidden="1">
      <c r="A10" s="202">
        <f ca="1">IFERROR(__xludf.DUMMYFUNCTION("""COMPUTED_VALUE"""),8)</f>
        <v>8</v>
      </c>
      <c r="B10" s="217" t="str">
        <f ca="1">IFERROR(__xludf.DUMMYFUNCTION("""COMPUTED_VALUE"""),"Education")</f>
        <v>Education</v>
      </c>
      <c r="C10" s="217" t="str">
        <f ca="1">IFERROR(__xludf.DUMMYFUNCTION("""COMPUTED_VALUE"""),"Access and learning environment")</f>
        <v>Access and learning environment</v>
      </c>
      <c r="D10" s="217" t="str">
        <f ca="1">IFERROR(__xludf.DUMMYFUNCTION("""COMPUTED_VALUE"""),"Humanitarian conditions")</f>
        <v>Humanitarian conditions</v>
      </c>
      <c r="E10" s="217" t="str">
        <f ca="1">IFERROR(__xludf.DUMMYFUNCTION("""COMPUTED_VALUE"""),"Coping Mechanisms")</f>
        <v>Coping Mechanisms</v>
      </c>
      <c r="F10" s="217" t="str">
        <f ca="1">IFERROR(__xludf.DUMMYFUNCTION("""COMPUTED_VALUE"""),"% children dropping out of school in the last XX months")</f>
        <v>% children dropping out of school in the last XX months</v>
      </c>
      <c r="G10" s="217"/>
      <c r="H10" s="217">
        <f ca="1">IFERROR(__xludf.DUMMYFUNCTION("""COMPUTED_VALUE"""),1)</f>
        <v>1</v>
      </c>
      <c r="I10" s="217" t="str">
        <f ca="1">IFERROR(__xludf.DUMMYFUNCTION("""COMPUTED_VALUE"""),"HH survey / KI")</f>
        <v>HH survey / KI</v>
      </c>
      <c r="J10" s="217" t="str">
        <f ca="1">IFERROR(__xludf.DUMMYFUNCTION("""COMPUTED_VALUE"""),"MSNA / EMIS or school database / EiE assessment")</f>
        <v>MSNA / EMIS or school database / EiE assessment</v>
      </c>
      <c r="K10" s="218" t="str">
        <f ca="1">IFERROR(__xludf.DUMMYFUNCTION("""COMPUTED_VALUE"""),"HH: No school-aged children in the HH dropped ou
 Area: 0% of school-aged children dropped out")</f>
        <v>HH: No school-aged children in the HH dropped ou
 Area: 0% of school-aged children dropped out</v>
      </c>
      <c r="L10" s="218" t="str">
        <f ca="1">IFERROR(__xludf.DUMMYFUNCTION("""COMPUTED_VALUE"""),"Area: &lt;10% of school-aged children dropped out")</f>
        <v>Area: &lt;10% of school-aged children dropped out</v>
      </c>
      <c r="M10" s="218" t="str">
        <f ca="1">IFERROR(__xludf.DUMMYFUNCTION("""COMPUTED_VALUE"""),"HH: Some school-aged children in the HH attend school
 Area: &lt;20% of school-aged children dropped out")</f>
        <v>HH: Some school-aged children in the HH attend school
 Area: &lt;20% of school-aged children dropped out</v>
      </c>
      <c r="N10" s="218" t="str">
        <f ca="1">IFERROR(__xludf.DUMMYFUNCTION("""COMPUTED_VALUE"""),"Area: &lt;30% of school-aged children dropped out")</f>
        <v>Area: &lt;30% of school-aged children dropped out</v>
      </c>
      <c r="O10" s="218" t="str">
        <f ca="1">IFERROR(__xludf.DUMMYFUNCTION("""COMPUTED_VALUE"""),"HH: All school-aged children in the HH dropped out
 Area: &gt;=30% of school-aged children dropped out")</f>
        <v>HH: All school-aged children in the HH dropped out
 Area: &gt;=30% of school-aged children dropped out</v>
      </c>
      <c r="P10" s="219" t="str">
        <f ca="1">IFERROR(__xludf.DUMMYFUNCTION("""COMPUTED_VALUE"""),"Country-level thresholds should be amended based on the pre-crisis drop-out rate")</f>
        <v>Country-level thresholds should be amended based on the pre-crisis drop-out rate</v>
      </c>
      <c r="Q10" s="215"/>
      <c r="R10" s="215"/>
      <c r="S10" s="215"/>
      <c r="T10" s="216"/>
      <c r="U10" s="216"/>
    </row>
    <row r="11" spans="1:21" ht="50" hidden="1">
      <c r="A11" s="202">
        <f ca="1">IFERROR(__xludf.DUMMYFUNCTION("""COMPUTED_VALUE"""),9)</f>
        <v>9</v>
      </c>
      <c r="B11" s="217" t="str">
        <f ca="1">IFERROR(__xludf.DUMMYFUNCTION("""COMPUTED_VALUE"""),"Education")</f>
        <v>Education</v>
      </c>
      <c r="C11" s="217" t="str">
        <f ca="1">IFERROR(__xludf.DUMMYFUNCTION("""COMPUTED_VALUE"""),"Access and learning environment")</f>
        <v>Access and learning environment</v>
      </c>
      <c r="D11" s="217" t="str">
        <f ca="1">IFERROR(__xludf.DUMMYFUNCTION("""COMPUTED_VALUE"""),"Humanitarian conditions")</f>
        <v>Humanitarian conditions</v>
      </c>
      <c r="E11" s="217" t="str">
        <f ca="1">IFERROR(__xludf.DUMMYFUNCTION("""COMPUTED_VALUE"""),"Coping Mechanisms")</f>
        <v>Coping Mechanisms</v>
      </c>
      <c r="F11" s="217" t="str">
        <f ca="1">IFERROR(__xludf.DUMMYFUNCTION("""COMPUTED_VALUE"""),"% households by highest education level (primary, secondary and tertiary)")</f>
        <v>% households by highest education level (primary, secondary and tertiary)</v>
      </c>
      <c r="G11" s="217"/>
      <c r="H11" s="217">
        <f ca="1">IFERROR(__xludf.DUMMYFUNCTION("""COMPUTED_VALUE"""),2)</f>
        <v>2</v>
      </c>
      <c r="I11" s="217" t="str">
        <f ca="1">IFERROR(__xludf.DUMMYFUNCTION("""COMPUTED_VALUE"""),"HH survey")</f>
        <v>HH survey</v>
      </c>
      <c r="J11" s="217" t="str">
        <f ca="1">IFERROR(__xludf.DUMMYFUNCTION("""COMPUTED_VALUE"""),"MSNA")</f>
        <v>MSNA</v>
      </c>
      <c r="K11" s="218" t="str">
        <f ca="1">IFERROR(__xludf.DUMMYFUNCTION("""COMPUTED_VALUE"""),"HH: at least 1 member completed tertiary degree OR vocational qualification")</f>
        <v>HH: at least 1 member completed tertiary degree OR vocational qualification</v>
      </c>
      <c r="L11" s="218" t="str">
        <f ca="1">IFERROR(__xludf.DUMMYFUNCTION("""COMPUTED_VALUE"""),"HH: at least 1 member completed secondary education")</f>
        <v>HH: at least 1 member completed secondary education</v>
      </c>
      <c r="M11" s="218" t="str">
        <f ca="1">IFERROR(__xludf.DUMMYFUNCTION("""COMPUTED_VALUE"""),"HH: at least 1 member completed primary education")</f>
        <v>HH: at least 1 member completed primary education</v>
      </c>
      <c r="N11" s="218" t="str">
        <f ca="1">IFERROR(__xludf.DUMMYFUNCTION("""COMPUTED_VALUE"""),"HH: at least 1 member started (though did not complete) primary education")</f>
        <v>HH: at least 1 member started (though did not complete) primary education</v>
      </c>
      <c r="O11" s="218" t="str">
        <f ca="1">IFERROR(__xludf.DUMMYFUNCTION("""COMPUTED_VALUE"""),"HH: No member ever attended school")</f>
        <v>HH: No member ever attended school</v>
      </c>
      <c r="P11" s="219"/>
      <c r="Q11" s="215"/>
      <c r="R11" s="215"/>
      <c r="S11" s="215"/>
      <c r="T11" s="216"/>
      <c r="U11" s="216"/>
    </row>
    <row r="12" spans="1:21" ht="100" hidden="1">
      <c r="A12" s="202">
        <f ca="1">IFERROR(__xludf.DUMMYFUNCTION("""COMPUTED_VALUE"""),10)</f>
        <v>10</v>
      </c>
      <c r="B12" s="217" t="str">
        <f ca="1">IFERROR(__xludf.DUMMYFUNCTION("""COMPUTED_VALUE"""),"Education")</f>
        <v>Education</v>
      </c>
      <c r="C12" s="217" t="str">
        <f ca="1">IFERROR(__xludf.DUMMYFUNCTION("""COMPUTED_VALUE"""),"Access and learning environment")</f>
        <v>Access and learning environment</v>
      </c>
      <c r="D12" s="217" t="str">
        <f ca="1">IFERROR(__xludf.DUMMYFUNCTION("""COMPUTED_VALUE"""),"Humanitarian conditions")</f>
        <v>Humanitarian conditions</v>
      </c>
      <c r="E12" s="217" t="str">
        <f ca="1">IFERROR(__xludf.DUMMYFUNCTION("""COMPUTED_VALUE"""),"Living Standards")</f>
        <v>Living Standards</v>
      </c>
      <c r="F12" s="217" t="str">
        <f ca="1">IFERROR(__xludf.DUMMYFUNCTION("""COMPUTED_VALUE"""),"% children not attending school by sex and school-level (as a result of the crisis)")</f>
        <v>% children not attending school by sex and school-level (as a result of the crisis)</v>
      </c>
      <c r="G12" s="217"/>
      <c r="H12" s="217">
        <f ca="1">IFERROR(__xludf.DUMMYFUNCTION("""COMPUTED_VALUE"""),1)</f>
        <v>1</v>
      </c>
      <c r="I12" s="217" t="str">
        <f ca="1">IFERROR(__xludf.DUMMYFUNCTION("""COMPUTED_VALUE"""),"HH survey / KI")</f>
        <v>HH survey / KI</v>
      </c>
      <c r="J12" s="217" t="str">
        <f ca="1">IFERROR(__xludf.DUMMYFUNCTION("""COMPUTED_VALUE"""),"MSNA / EMIS or school database / EiE assessment")</f>
        <v>MSNA / EMIS or school database / EiE assessment</v>
      </c>
      <c r="K12" s="218" t="str">
        <f ca="1">IFERROR(__xludf.DUMMYFUNCTION("""COMPUTED_VALUE"""),"HH: All school-aged children in the HH attend school
 Area: 100% of school-aged children attended school in the current/most recent school year")</f>
        <v>HH: All school-aged children in the HH attend school
 Area: 100% of school-aged children attended school in the current/most recent school year</v>
      </c>
      <c r="L12" s="218" t="str">
        <f ca="1">IFERROR(__xludf.DUMMYFUNCTION("""COMPUTED_VALUE"""),"HH: NA
 Area: &gt;75% of school-aged children attended school in the current/most recent school year")</f>
        <v>HH: NA
 Area: &gt;75% of school-aged children attended school in the current/most recent school year</v>
      </c>
      <c r="M12" s="218" t="str">
        <f ca="1">IFERROR(__xludf.DUMMYFUNCTION("""COMPUTED_VALUE"""),"HH: Some school-aged children in the HH attend school
 Area: &gt;50% of school-aged children attended school in the current/most recent school year")</f>
        <v>HH: Some school-aged children in the HH attend school
 Area: &gt;50% of school-aged children attended school in the current/most recent school year</v>
      </c>
      <c r="N12" s="218" t="str">
        <f ca="1">IFERROR(__xludf.DUMMYFUNCTION("""COMPUTED_VALUE"""),"HH: NA
Area: &gt;25% of school-aged children attended school in the current/most recent school year")</f>
        <v>HH: NA
Area: &gt;25% of school-aged children attended school in the current/most recent school year</v>
      </c>
      <c r="O12" s="218" t="str">
        <f ca="1">IFERROR(__xludf.DUMMYFUNCTION("""COMPUTED_VALUE"""),"HH: No school-aged children in the HH attend school
 Area: 0-25% of school-aged children attended school in the current/most recent school year")</f>
        <v>HH: No school-aged children in the HH attend school
 Area: 0-25% of school-aged children attended school in the current/most recent school year</v>
      </c>
      <c r="P12" s="219" t="str">
        <f ca="1">IFERROR(__xludf.DUMMYFUNCTION("""COMPUTED_VALUE"""),"Country-level thresholds should be amended based on the pre-crisis enrolment rate")</f>
        <v>Country-level thresholds should be amended based on the pre-crisis enrolment rate</v>
      </c>
      <c r="Q12" s="215"/>
      <c r="R12" s="215"/>
      <c r="S12" s="215"/>
      <c r="T12" s="216"/>
      <c r="U12" s="216"/>
    </row>
    <row r="13" spans="1:21" ht="50" hidden="1">
      <c r="A13" s="202">
        <f ca="1">IFERROR(__xludf.DUMMYFUNCTION("""COMPUTED_VALUE"""),11)</f>
        <v>11</v>
      </c>
      <c r="B13" s="217" t="str">
        <f ca="1">IFERROR(__xludf.DUMMYFUNCTION("""COMPUTED_VALUE"""),"Education")</f>
        <v>Education</v>
      </c>
      <c r="C13" s="217" t="str">
        <f ca="1">IFERROR(__xludf.DUMMYFUNCTION("""COMPUTED_VALUE"""),"Attacks on education")</f>
        <v>Attacks on education</v>
      </c>
      <c r="D13" s="217" t="str">
        <f ca="1">IFERROR(__xludf.DUMMYFUNCTION("""COMPUTED_VALUE"""),"Humanitarian conditions")</f>
        <v>Humanitarian conditions</v>
      </c>
      <c r="E13" s="217" t="str">
        <f ca="1">IFERROR(__xludf.DUMMYFUNCTION("""COMPUTED_VALUE"""),"Physical and Mental Wellbeing")</f>
        <v>Physical and Mental Wellbeing</v>
      </c>
      <c r="F13" s="217" t="str">
        <f ca="1">IFERROR(__xludf.DUMMYFUNCTION("""COMPUTED_VALUE"""),"% of children who have suffered attacks in or on their way to school in the last XX months")</f>
        <v>% of children who have suffered attacks in or on their way to school in the last XX months</v>
      </c>
      <c r="G13" s="217"/>
      <c r="H13" s="217">
        <f ca="1">IFERROR(__xludf.DUMMYFUNCTION("""COMPUTED_VALUE"""),1)</f>
        <v>1</v>
      </c>
      <c r="I13" s="217" t="str">
        <f ca="1">IFERROR(__xludf.DUMMYFUNCTION("""COMPUTED_VALUE"""),"HH survey / KI")</f>
        <v>HH survey / KI</v>
      </c>
      <c r="J13" s="217" t="str">
        <f ca="1">IFERROR(__xludf.DUMMYFUNCTION("""COMPUTED_VALUE"""),"EiE/protection monitoring")</f>
        <v>EiE/protection monitoring</v>
      </c>
      <c r="K13" s="218" t="str">
        <f ca="1">IFERROR(__xludf.DUMMYFUNCTION("""COMPUTED_VALUE"""),"No attacks")</f>
        <v>No attacks</v>
      </c>
      <c r="L13" s="218" t="str">
        <f ca="1">IFERROR(__xludf.DUMMYFUNCTION("""COMPUTED_VALUE"""),"Verbal attacks")</f>
        <v>Verbal attacks</v>
      </c>
      <c r="M13" s="218" t="str">
        <f ca="1">IFERROR(__xludf.DUMMYFUNCTION("""COMPUTED_VALUE"""),"Physical assault without serious injury")</f>
        <v>Physical assault without serious injury</v>
      </c>
      <c r="N13" s="218" t="str">
        <f ca="1">IFERROR(__xludf.DUMMYFUNCTION("""COMPUTED_VALUE"""),"Physical assault with serious injury")</f>
        <v>Physical assault with serious injury</v>
      </c>
      <c r="O13" s="218" t="str">
        <f ca="1">IFERROR(__xludf.DUMMYFUNCTION("""COMPUTED_VALUE"""),"Physical assault with fatal injury")</f>
        <v>Physical assault with fatal injury</v>
      </c>
      <c r="P13" s="219"/>
      <c r="Q13" s="215"/>
      <c r="R13" s="215"/>
      <c r="S13" s="215"/>
      <c r="T13" s="216"/>
      <c r="U13" s="216"/>
    </row>
    <row r="14" spans="1:21" ht="50" hidden="1">
      <c r="A14" s="202">
        <f ca="1">IFERROR(__xludf.DUMMYFUNCTION("""COMPUTED_VALUE"""),12)</f>
        <v>12</v>
      </c>
      <c r="B14" s="217" t="str">
        <f ca="1">IFERROR(__xludf.DUMMYFUNCTION("""COMPUTED_VALUE"""),"Education")</f>
        <v>Education</v>
      </c>
      <c r="C14" s="217" t="str">
        <f ca="1">IFERROR(__xludf.DUMMYFUNCTION("""COMPUTED_VALUE"""),"Attacks on education")</f>
        <v>Attacks on education</v>
      </c>
      <c r="D14" s="217" t="str">
        <f ca="1">IFERROR(__xludf.DUMMYFUNCTION("""COMPUTED_VALUE"""),"Humanitarian conditions")</f>
        <v>Humanitarian conditions</v>
      </c>
      <c r="E14" s="217" t="str">
        <f ca="1">IFERROR(__xludf.DUMMYFUNCTION("""COMPUTED_VALUE"""),"Physical and Mental Wellbeing")</f>
        <v>Physical and Mental Wellbeing</v>
      </c>
      <c r="F14" s="217" t="str">
        <f ca="1">IFERROR(__xludf.DUMMYFUNCTION("""COMPUTED_VALUE"""),"% of teachers who have suffered attacks in or on their way to school in the last XX months")</f>
        <v>% of teachers who have suffered attacks in or on their way to school in the last XX months</v>
      </c>
      <c r="G14" s="217"/>
      <c r="H14" s="217">
        <f ca="1">IFERROR(__xludf.DUMMYFUNCTION("""COMPUTED_VALUE"""),1)</f>
        <v>1</v>
      </c>
      <c r="I14" s="217" t="str">
        <f ca="1">IFERROR(__xludf.DUMMYFUNCTION("""COMPUTED_VALUE"""),"KI")</f>
        <v>KI</v>
      </c>
      <c r="J14" s="217" t="str">
        <f ca="1">IFERROR(__xludf.DUMMYFUNCTION("""COMPUTED_VALUE"""),"EiE/protection monitoring")</f>
        <v>EiE/protection monitoring</v>
      </c>
      <c r="K14" s="218" t="str">
        <f ca="1">IFERROR(__xludf.DUMMYFUNCTION("""COMPUTED_VALUE"""),"No attacks")</f>
        <v>No attacks</v>
      </c>
      <c r="L14" s="218" t="str">
        <f ca="1">IFERROR(__xludf.DUMMYFUNCTION("""COMPUTED_VALUE"""),"Verbal attacks")</f>
        <v>Verbal attacks</v>
      </c>
      <c r="M14" s="218" t="str">
        <f ca="1">IFERROR(__xludf.DUMMYFUNCTION("""COMPUTED_VALUE"""),"Physical assault without serious injury")</f>
        <v>Physical assault without serious injury</v>
      </c>
      <c r="N14" s="218" t="str">
        <f ca="1">IFERROR(__xludf.DUMMYFUNCTION("""COMPUTED_VALUE"""),"Physical assault with serious injury")</f>
        <v>Physical assault with serious injury</v>
      </c>
      <c r="O14" s="218" t="str">
        <f ca="1">IFERROR(__xludf.DUMMYFUNCTION("""COMPUTED_VALUE"""),"Physical assault with fatal injury")</f>
        <v>Physical assault with fatal injury</v>
      </c>
      <c r="P14" s="219"/>
      <c r="Q14" s="215"/>
      <c r="R14" s="215"/>
      <c r="S14" s="215"/>
      <c r="T14" s="216"/>
      <c r="U14" s="216"/>
    </row>
    <row r="15" spans="1:21" ht="37.5" hidden="1">
      <c r="A15" s="202">
        <f ca="1">IFERROR(__xludf.DUMMYFUNCTION("""COMPUTED_VALUE"""),13)</f>
        <v>13</v>
      </c>
      <c r="B15" s="217" t="str">
        <f ca="1">IFERROR(__xludf.DUMMYFUNCTION("""COMPUTED_VALUE"""),"Education")</f>
        <v>Education</v>
      </c>
      <c r="C15" s="217" t="str">
        <f ca="1">IFERROR(__xludf.DUMMYFUNCTION("""COMPUTED_VALUE"""),"Attacks on education")</f>
        <v>Attacks on education</v>
      </c>
      <c r="D15" s="217" t="str">
        <f ca="1">IFERROR(__xludf.DUMMYFUNCTION("""COMPUTED_VALUE"""),"Impact")</f>
        <v>Impact</v>
      </c>
      <c r="E15" s="217" t="str">
        <f ca="1">IFERROR(__xludf.DUMMYFUNCTION("""COMPUTED_VALUE"""),"Impact on Services")</f>
        <v>Impact on Services</v>
      </c>
      <c r="F15" s="217" t="str">
        <f ca="1">IFERROR(__xludf.DUMMYFUNCTION("""COMPUTED_VALUE"""),"Number of attacks on education personnel in the lat XX months")</f>
        <v>Number of attacks on education personnel in the lat XX months</v>
      </c>
      <c r="G15" s="217"/>
      <c r="H15" s="217">
        <f ca="1">IFERROR(__xludf.DUMMYFUNCTION("""COMPUTED_VALUE"""),0)</f>
        <v>0</v>
      </c>
      <c r="I15" s="217" t="str">
        <f ca="1">IFERROR(__xludf.DUMMYFUNCTION("""COMPUTED_VALUE"""),"KI")</f>
        <v>KI</v>
      </c>
      <c r="J15" s="217"/>
      <c r="K15" s="218"/>
      <c r="L15" s="218"/>
      <c r="M15" s="218"/>
      <c r="N15" s="218"/>
      <c r="O15" s="218"/>
      <c r="P15" s="219" t="str">
        <f ca="1">IFERROR(__xludf.DUMMYFUNCTION("""COMPUTED_VALUE"""),"Thresholds to be developed by the Education Cluster in country.")</f>
        <v>Thresholds to be developed by the Education Cluster in country.</v>
      </c>
      <c r="Q15" s="215"/>
      <c r="R15" s="215"/>
      <c r="S15" s="215"/>
      <c r="T15" s="216"/>
      <c r="U15" s="216"/>
    </row>
    <row r="16" spans="1:21" ht="25" hidden="1">
      <c r="A16" s="202">
        <f ca="1">IFERROR(__xludf.DUMMYFUNCTION("""COMPUTED_VALUE"""),14)</f>
        <v>14</v>
      </c>
      <c r="B16" s="217" t="str">
        <f ca="1">IFERROR(__xludf.DUMMYFUNCTION("""COMPUTED_VALUE"""),"Education")</f>
        <v>Education</v>
      </c>
      <c r="C16" s="217" t="str">
        <f ca="1">IFERROR(__xludf.DUMMYFUNCTION("""COMPUTED_VALUE"""),"Attacks on education")</f>
        <v>Attacks on education</v>
      </c>
      <c r="D16" s="217" t="str">
        <f ca="1">IFERROR(__xludf.DUMMYFUNCTION("""COMPUTED_VALUE"""),"Impact")</f>
        <v>Impact</v>
      </c>
      <c r="E16" s="217" t="str">
        <f ca="1">IFERROR(__xludf.DUMMYFUNCTION("""COMPUTED_VALUE"""),"Impact on Services")</f>
        <v>Impact on Services</v>
      </c>
      <c r="F16" s="217" t="str">
        <f ca="1">IFERROR(__xludf.DUMMYFUNCTION("""COMPUTED_VALUE"""),"Number of attacks on school in the last XX months")</f>
        <v>Number of attacks on school in the last XX months</v>
      </c>
      <c r="G16" s="217"/>
      <c r="H16" s="217">
        <f ca="1">IFERROR(__xludf.DUMMYFUNCTION("""COMPUTED_VALUE"""),0)</f>
        <v>0</v>
      </c>
      <c r="I16" s="217" t="str">
        <f ca="1">IFERROR(__xludf.DUMMYFUNCTION("""COMPUTED_VALUE"""),"KI")</f>
        <v>KI</v>
      </c>
      <c r="J16" s="217"/>
      <c r="K16" s="218"/>
      <c r="L16" s="218"/>
      <c r="M16" s="218"/>
      <c r="N16" s="218"/>
      <c r="O16" s="218"/>
      <c r="P16" s="219" t="str">
        <f ca="1">IFERROR(__xludf.DUMMYFUNCTION("""COMPUTED_VALUE"""),"Thresholds to be developed by the Education Cluster in country.")</f>
        <v>Thresholds to be developed by the Education Cluster in country.</v>
      </c>
      <c r="Q16" s="215"/>
      <c r="R16" s="215"/>
      <c r="S16" s="215"/>
      <c r="T16" s="216"/>
      <c r="U16" s="216"/>
    </row>
    <row r="17" spans="1:21" ht="37.5" hidden="1">
      <c r="A17" s="202">
        <f ca="1">IFERROR(__xludf.DUMMYFUNCTION("""COMPUTED_VALUE"""),15)</f>
        <v>15</v>
      </c>
      <c r="B17" s="217" t="str">
        <f ca="1">IFERROR(__xludf.DUMMYFUNCTION("""COMPUTED_VALUE"""),"Education")</f>
        <v>Education</v>
      </c>
      <c r="C17" s="217" t="str">
        <f ca="1">IFERROR(__xludf.DUMMYFUNCTION("""COMPUTED_VALUE"""),"Attacks on education")</f>
        <v>Attacks on education</v>
      </c>
      <c r="D17" s="217" t="str">
        <f ca="1">IFERROR(__xludf.DUMMYFUNCTION("""COMPUTED_VALUE"""),"Impact")</f>
        <v>Impact</v>
      </c>
      <c r="E17" s="217" t="str">
        <f ca="1">IFERROR(__xludf.DUMMYFUNCTION("""COMPUTED_VALUE"""),"Impact on Services")</f>
        <v>Impact on Services</v>
      </c>
      <c r="F17" s="217" t="str">
        <f ca="1">IFERROR(__xludf.DUMMYFUNCTION("""COMPUTED_VALUE"""),"Number of schools occupied by armed groups in the last XX months")</f>
        <v>Number of schools occupied by armed groups in the last XX months</v>
      </c>
      <c r="G17" s="217"/>
      <c r="H17" s="217">
        <f ca="1">IFERROR(__xludf.DUMMYFUNCTION("""COMPUTED_VALUE"""),0)</f>
        <v>0</v>
      </c>
      <c r="I17" s="217" t="str">
        <f ca="1">IFERROR(__xludf.DUMMYFUNCTION("""COMPUTED_VALUE"""),"KI")</f>
        <v>KI</v>
      </c>
      <c r="J17" s="217"/>
      <c r="K17" s="218"/>
      <c r="L17" s="218"/>
      <c r="M17" s="218"/>
      <c r="N17" s="218"/>
      <c r="O17" s="218"/>
      <c r="P17" s="219"/>
      <c r="Q17" s="215"/>
      <c r="R17" s="215"/>
      <c r="S17" s="215"/>
      <c r="T17" s="216"/>
      <c r="U17" s="216"/>
    </row>
    <row r="18" spans="1:21" ht="62.5" hidden="1">
      <c r="A18" s="202">
        <f ca="1">IFERROR(__xludf.DUMMYFUNCTION("""COMPUTED_VALUE"""),16)</f>
        <v>16</v>
      </c>
      <c r="B18" s="217" t="str">
        <f ca="1">IFERROR(__xludf.DUMMYFUNCTION("""COMPUTED_VALUE"""),"Education")</f>
        <v>Education</v>
      </c>
      <c r="C18" s="217" t="str">
        <f ca="1">IFERROR(__xludf.DUMMYFUNCTION("""COMPUTED_VALUE"""),"WASH in schools")</f>
        <v>WASH in schools</v>
      </c>
      <c r="D18" s="217" t="str">
        <f ca="1">IFERROR(__xludf.DUMMYFUNCTION("""COMPUTED_VALUE"""),"Humanitarian conditions")</f>
        <v>Humanitarian conditions</v>
      </c>
      <c r="E18" s="217" t="str">
        <f ca="1">IFERROR(__xludf.DUMMYFUNCTION("""COMPUTED_VALUE"""),"Living Standards")</f>
        <v>Living Standards</v>
      </c>
      <c r="F18" s="217" t="str">
        <f ca="1">IFERROR(__xludf.DUMMYFUNCTION("""COMPUTED_VALUE"""),"% children in schools without access to an improved drinking water source")</f>
        <v>% children in schools without access to an improved drinking water source</v>
      </c>
      <c r="G18" s="217"/>
      <c r="H18" s="217" t="str">
        <f ca="1">IFERROR(__xludf.DUMMYFUNCTION("""COMPUTED_VALUE"""),"2; In epidemic situation, level 1")</f>
        <v>2; In epidemic situation, level 1</v>
      </c>
      <c r="I18" s="217" t="str">
        <f ca="1">IFERROR(__xludf.DUMMYFUNCTION("""COMPUTED_VALUE"""),"KI")</f>
        <v>KI</v>
      </c>
      <c r="J18" s="217" t="str">
        <f ca="1">IFERROR(__xludf.DUMMYFUNCTION("""COMPUTED_VALUE"""),"EiE assessment")</f>
        <v>EiE assessment</v>
      </c>
      <c r="K18" s="218" t="str">
        <f ca="1">IFERROR(__xludf.DUMMYFUNCTION("""COMPUTED_VALUE"""),"Area: 0-20%
Water available from an improved sources located on the premises
")</f>
        <v xml:space="preserve">Area: 0-20%
Water available from an improved sources located on the premises
</v>
      </c>
      <c r="L18" s="218" t="str">
        <f ca="1">IFERROR(__xludf.DUMMYFUNCTION("""COMPUTED_VALUE"""),"21-40%
Water available from an improved source not on premises")</f>
        <v>21-40%
Water available from an improved source not on premises</v>
      </c>
      <c r="M18" s="218" t="str">
        <f ca="1">IFERROR(__xludf.DUMMYFUNCTION("""COMPUTED_VALUE"""),"41-60%
Water available from an unimproved source on premises")</f>
        <v>41-60%
Water available from an unimproved source on premises</v>
      </c>
      <c r="N18" s="218" t="str">
        <f ca="1">IFERROR(__xludf.DUMMYFUNCTION("""COMPUTED_VALUE"""),"61-80%
Water from unimproved source not on premises")</f>
        <v>61-80%
Water from unimproved source not on premises</v>
      </c>
      <c r="O18" s="218" t="str">
        <f ca="1">IFERROR(__xludf.DUMMYFUNCTION("""COMPUTED_VALUE"""),"81-100%
No water source")</f>
        <v>81-100%
No water source</v>
      </c>
      <c r="P18" s="219"/>
      <c r="Q18" s="215"/>
      <c r="R18" s="215"/>
      <c r="S18" s="215"/>
      <c r="T18" s="216"/>
      <c r="U18" s="216"/>
    </row>
    <row r="19" spans="1:21" ht="75" hidden="1">
      <c r="A19" s="202">
        <f ca="1">IFERROR(__xludf.DUMMYFUNCTION("""COMPUTED_VALUE"""),17)</f>
        <v>17</v>
      </c>
      <c r="B19" s="217" t="str">
        <f ca="1">IFERROR(__xludf.DUMMYFUNCTION("""COMPUTED_VALUE"""),"Education")</f>
        <v>Education</v>
      </c>
      <c r="C19" s="217" t="str">
        <f ca="1">IFERROR(__xludf.DUMMYFUNCTION("""COMPUTED_VALUE"""),"WASH in schools")</f>
        <v>WASH in schools</v>
      </c>
      <c r="D19" s="217" t="str">
        <f ca="1">IFERROR(__xludf.DUMMYFUNCTION("""COMPUTED_VALUE"""),"Humanitarian conditions")</f>
        <v>Humanitarian conditions</v>
      </c>
      <c r="E19" s="217" t="str">
        <f ca="1">IFERROR(__xludf.DUMMYFUNCTION("""COMPUTED_VALUE"""),"Living Standards")</f>
        <v>Living Standards</v>
      </c>
      <c r="F19" s="217" t="str">
        <f ca="1">IFERROR(__xludf.DUMMYFUNCTION("""COMPUTED_VALUE"""),"% children in schools without access to hygienic latrines")</f>
        <v>% children in schools without access to hygienic latrines</v>
      </c>
      <c r="G19" s="217"/>
      <c r="H19" s="217" t="str">
        <f ca="1">IFERROR(__xludf.DUMMYFUNCTION("""COMPUTED_VALUE"""),"2; In epidemic situation, level 2")</f>
        <v>2; In epidemic situation, level 2</v>
      </c>
      <c r="I19" s="217" t="str">
        <f ca="1">IFERROR(__xludf.DUMMYFUNCTION("""COMPUTED_VALUE"""),"KI")</f>
        <v>KI</v>
      </c>
      <c r="J19" s="217" t="str">
        <f ca="1">IFERROR(__xludf.DUMMYFUNCTION("""COMPUTED_VALUE"""),"EiE assessment")</f>
        <v>EiE assessment</v>
      </c>
      <c r="K19" s="218" t="str">
        <f ca="1">IFERROR(__xludf.DUMMYFUNCTION("""COMPUTED_VALUE"""),"Area: 0-20%
Access to gender-segregated improved sanitation facilities, shared with fewer than 50 students")</f>
        <v>Area: 0-20%
Access to gender-segregated improved sanitation facilities, shared with fewer than 50 students</v>
      </c>
      <c r="L19" s="218" t="str">
        <f ca="1">IFERROR(__xludf.DUMMYFUNCTION("""COMPUTED_VALUE"""),"Area: 21-40%
Access to improved sanitation facilities, not gender-segregated, shared with fewer than 50 students")</f>
        <v>Area: 21-40%
Access to improved sanitation facilities, not gender-segregated, shared with fewer than 50 students</v>
      </c>
      <c r="M19" s="218" t="str">
        <f ca="1">IFERROR(__xludf.DUMMYFUNCTION("""COMPUTED_VALUE"""),"Area: 41-60%
Access to improved sanitation facilities, shared with more than 50 students")</f>
        <v>Area: 41-60%
Access to improved sanitation facilities, shared with more than 50 students</v>
      </c>
      <c r="N19" s="218" t="str">
        <f ca="1">IFERROR(__xludf.DUMMYFUNCTION("""COMPUTED_VALUE"""),"Area: 61-80%
Access to unimproved facilities OR access to improved facilities shared with more than 100 students")</f>
        <v>Area: 61-80%
Access to unimproved facilities OR access to improved facilities shared with more than 100 students</v>
      </c>
      <c r="O19" s="218" t="str">
        <f ca="1">IFERROR(__xludf.DUMMYFUNCTION("""COMPUTED_VALUE"""),"Area: 81-100%
Disposal of human faeces in open spaces or with solid waste")</f>
        <v>Area: 81-100%
Disposal of human faeces in open spaces or with solid waste</v>
      </c>
      <c r="P19" s="219"/>
      <c r="Q19" s="215"/>
      <c r="R19" s="215"/>
      <c r="S19" s="215"/>
      <c r="T19" s="216"/>
      <c r="U19" s="216"/>
    </row>
    <row r="20" spans="1:21" ht="37.5" hidden="1">
      <c r="A20" s="202">
        <f ca="1">IFERROR(__xludf.DUMMYFUNCTION("""COMPUTED_VALUE"""),18)</f>
        <v>18</v>
      </c>
      <c r="B20" s="217" t="str">
        <f ca="1">IFERROR(__xludf.DUMMYFUNCTION("""COMPUTED_VALUE"""),"Education")</f>
        <v>Education</v>
      </c>
      <c r="C20" s="217"/>
      <c r="D20" s="217" t="str">
        <f ca="1">IFERROR(__xludf.DUMMYFUNCTION("""COMPUTED_VALUE"""),"Impact")</f>
        <v>Impact</v>
      </c>
      <c r="E20" s="217" t="str">
        <f ca="1">IFERROR(__xludf.DUMMYFUNCTION("""COMPUTED_VALUE"""),"Impact on Services")</f>
        <v>Impact on Services</v>
      </c>
      <c r="F20" s="217" t="str">
        <f ca="1">IFERROR(__xludf.DUMMYFUNCTION("""COMPUTED_VALUE"""),"% of closed/non-functional schools")</f>
        <v>% of closed/non-functional schools</v>
      </c>
      <c r="G20" s="217"/>
      <c r="H20" s="217">
        <f ca="1">IFERROR(__xludf.DUMMYFUNCTION("""COMPUTED_VALUE"""),0)</f>
        <v>0</v>
      </c>
      <c r="I20" s="217" t="str">
        <f ca="1">IFERROR(__xludf.DUMMYFUNCTION("""COMPUTED_VALUE"""),"KI")</f>
        <v>KI</v>
      </c>
      <c r="J20" s="217"/>
      <c r="K20" s="218" t="str">
        <f ca="1">IFERROR(__xludf.DUMMYFUNCTION("""COMPUTED_VALUE"""),"All schools are open/functional")</f>
        <v>All schools are open/functional</v>
      </c>
      <c r="L20" s="218" t="str">
        <f ca="1">IFERROR(__xludf.DUMMYFUNCTION("""COMPUTED_VALUE"""),"Nr. of closed/non-functional schools &lt; 10%")</f>
        <v>Nr. of closed/non-functional schools &lt; 10%</v>
      </c>
      <c r="M20" s="218" t="str">
        <f ca="1">IFERROR(__xludf.DUMMYFUNCTION("""COMPUTED_VALUE"""),"Nr. of closed/non-functional schools = 11-20%")</f>
        <v>Nr. of closed/non-functional schools = 11-20%</v>
      </c>
      <c r="N20" s="218" t="str">
        <f ca="1">IFERROR(__xludf.DUMMYFUNCTION("""COMPUTED_VALUE"""),"Nr. of closed/non-functional schools = 21-40%")</f>
        <v>Nr. of closed/non-functional schools = 21-40%</v>
      </c>
      <c r="O20" s="218" t="str">
        <f ca="1">IFERROR(__xludf.DUMMYFUNCTION("""COMPUTED_VALUE"""),"Nr. of closed/non-functional schools = 41% or higher")</f>
        <v>Nr. of closed/non-functional schools = 41% or higher</v>
      </c>
      <c r="P20" s="219"/>
      <c r="Q20" s="215"/>
      <c r="R20" s="215"/>
      <c r="S20" s="215"/>
      <c r="T20" s="216"/>
      <c r="U20" s="216"/>
    </row>
    <row r="21" spans="1:21" ht="37.5" hidden="1">
      <c r="A21" s="202">
        <f ca="1">IFERROR(__xludf.DUMMYFUNCTION("""COMPUTED_VALUE"""),19)</f>
        <v>19</v>
      </c>
      <c r="B21" s="217" t="str">
        <f ca="1">IFERROR(__xludf.DUMMYFUNCTION("""COMPUTED_VALUE"""),"Education")</f>
        <v>Education</v>
      </c>
      <c r="C21" s="217"/>
      <c r="D21" s="217" t="str">
        <f ca="1">IFERROR(__xludf.DUMMYFUNCTION("""COMPUTED_VALUE"""),"Impact")</f>
        <v>Impact</v>
      </c>
      <c r="E21" s="217" t="str">
        <f ca="1">IFERROR(__xludf.DUMMYFUNCTION("""COMPUTED_VALUE"""),"Impact on Services")</f>
        <v>Impact on Services</v>
      </c>
      <c r="F21" s="217" t="str">
        <f ca="1">IFERROR(__xludf.DUMMYFUNCTION("""COMPUTED_VALUE"""),"% of classrooms destroyed or damaged")</f>
        <v>% of classrooms destroyed or damaged</v>
      </c>
      <c r="G21" s="217"/>
      <c r="H21" s="217">
        <f ca="1">IFERROR(__xludf.DUMMYFUNCTION("""COMPUTED_VALUE"""),0)</f>
        <v>0</v>
      </c>
      <c r="I21" s="217" t="str">
        <f ca="1">IFERROR(__xludf.DUMMYFUNCTION("""COMPUTED_VALUE"""),"KI")</f>
        <v>KI</v>
      </c>
      <c r="J21" s="217"/>
      <c r="K21" s="218" t="str">
        <f ca="1">IFERROR(__xludf.DUMMYFUNCTION("""COMPUTED_VALUE"""),"No classrooms destroyed/damaged")</f>
        <v>No classrooms destroyed/damaged</v>
      </c>
      <c r="L21" s="218" t="str">
        <f ca="1">IFERROR(__xludf.DUMMYFUNCTION("""COMPUTED_VALUE"""),"Nr. of classrooms destroyed/damaged &lt; 5%")</f>
        <v>Nr. of classrooms destroyed/damaged &lt; 5%</v>
      </c>
      <c r="M21" s="218" t="str">
        <f ca="1">IFERROR(__xludf.DUMMYFUNCTION("""COMPUTED_VALUE"""),"Nr. of classrooms destroyed/damaged = 6-10%")</f>
        <v>Nr. of classrooms destroyed/damaged = 6-10%</v>
      </c>
      <c r="N21" s="218" t="str">
        <f ca="1">IFERROR(__xludf.DUMMYFUNCTION("""COMPUTED_VALUE"""),"Nr. of classrooms destroyed/damaged = 11-25%")</f>
        <v>Nr. of classrooms destroyed/damaged = 11-25%</v>
      </c>
      <c r="O21" s="218" t="str">
        <f ca="1">IFERROR(__xludf.DUMMYFUNCTION("""COMPUTED_VALUE"""),"Nr. of classrooms destroyed/damaged = 26% or higher")</f>
        <v>Nr. of classrooms destroyed/damaged = 26% or higher</v>
      </c>
      <c r="P21" s="219"/>
      <c r="Q21" s="215"/>
      <c r="R21" s="215"/>
      <c r="S21" s="215"/>
      <c r="T21" s="216"/>
      <c r="U21" s="216"/>
    </row>
    <row r="22" spans="1:21" ht="25" hidden="1">
      <c r="A22" s="202">
        <f ca="1">IFERROR(__xludf.DUMMYFUNCTION("""COMPUTED_VALUE"""),20)</f>
        <v>20</v>
      </c>
      <c r="B22" s="217" t="str">
        <f ca="1">IFERROR(__xludf.DUMMYFUNCTION("""COMPUTED_VALUE"""),"Education")</f>
        <v>Education</v>
      </c>
      <c r="C22" s="217"/>
      <c r="D22" s="217" t="str">
        <f ca="1">IFERROR(__xludf.DUMMYFUNCTION("""COMPUTED_VALUE"""),"Impact")</f>
        <v>Impact</v>
      </c>
      <c r="E22" s="217" t="str">
        <f ca="1">IFERROR(__xludf.DUMMYFUNCTION("""COMPUTED_VALUE"""),"Impact on Services")</f>
        <v>Impact on Services</v>
      </c>
      <c r="F22" s="217" t="str">
        <f ca="1">IFERROR(__xludf.DUMMYFUNCTION("""COMPUTED_VALUE"""),"% of schools used as shelter by IDPs")</f>
        <v>% of schools used as shelter by IDPs</v>
      </c>
      <c r="G22" s="217"/>
      <c r="H22" s="217">
        <f ca="1">IFERROR(__xludf.DUMMYFUNCTION("""COMPUTED_VALUE"""),0)</f>
        <v>0</v>
      </c>
      <c r="I22" s="217" t="str">
        <f ca="1">IFERROR(__xludf.DUMMYFUNCTION("""COMPUTED_VALUE"""),"KI")</f>
        <v>KI</v>
      </c>
      <c r="J22" s="217"/>
      <c r="K22" s="218" t="str">
        <f ca="1">IFERROR(__xludf.DUMMYFUNCTION("""COMPUTED_VALUE"""),"No schools used as shelter by IDPs")</f>
        <v>No schools used as shelter by IDPs</v>
      </c>
      <c r="L22" s="218"/>
      <c r="M22" s="218"/>
      <c r="N22" s="218"/>
      <c r="O22" s="218"/>
      <c r="P22" s="219" t="str">
        <f ca="1">IFERROR(__xludf.DUMMYFUNCTION("""COMPUTED_VALUE"""),"Thresholds to be developed by the Education Cluster in country.")</f>
        <v>Thresholds to be developed by the Education Cluster in country.</v>
      </c>
      <c r="Q22" s="215"/>
      <c r="R22" s="215"/>
      <c r="S22" s="215"/>
      <c r="T22" s="216"/>
      <c r="U22" s="216"/>
    </row>
    <row r="23" spans="1:21" ht="25" hidden="1">
      <c r="A23" s="202">
        <f ca="1">IFERROR(__xludf.DUMMYFUNCTION("""COMPUTED_VALUE"""),21)</f>
        <v>21</v>
      </c>
      <c r="B23" s="217" t="str">
        <f ca="1">IFERROR(__xludf.DUMMYFUNCTION("""COMPUTED_VALUE"""),"Education")</f>
        <v>Education</v>
      </c>
      <c r="C23" s="217"/>
      <c r="D23" s="217" t="str">
        <f ca="1">IFERROR(__xludf.DUMMYFUNCTION("""COMPUTED_VALUE"""),"Impact")</f>
        <v>Impact</v>
      </c>
      <c r="E23" s="217" t="str">
        <f ca="1">IFERROR(__xludf.DUMMYFUNCTION("""COMPUTED_VALUE"""),"Impact on Services")</f>
        <v>Impact on Services</v>
      </c>
      <c r="F23" s="217" t="str">
        <f ca="1">IFERROR(__xludf.DUMMYFUNCTION("""COMPUTED_VALUE"""),"Pupil-Teacher Ratio")</f>
        <v>Pupil-Teacher Ratio</v>
      </c>
      <c r="G23" s="217"/>
      <c r="H23" s="217">
        <f ca="1">IFERROR(__xludf.DUMMYFUNCTION("""COMPUTED_VALUE"""),0)</f>
        <v>0</v>
      </c>
      <c r="I23" s="217" t="str">
        <f ca="1">IFERROR(__xludf.DUMMYFUNCTION("""COMPUTED_VALUE"""),"KI")</f>
        <v>KI</v>
      </c>
      <c r="J23" s="217"/>
      <c r="K23" s="218" t="str">
        <f ca="1">IFERROR(__xludf.DUMMYFUNCTION("""COMPUTED_VALUE"""),"PTR &lt; 40")</f>
        <v>PTR &lt; 40</v>
      </c>
      <c r="L23" s="218" t="str">
        <f ca="1">IFERROR(__xludf.DUMMYFUNCTION("""COMPUTED_VALUE"""),"PTR = 41-50")</f>
        <v>PTR = 41-50</v>
      </c>
      <c r="M23" s="218" t="str">
        <f ca="1">IFERROR(__xludf.DUMMYFUNCTION("""COMPUTED_VALUE"""),"PTR = 51-60")</f>
        <v>PTR = 51-60</v>
      </c>
      <c r="N23" s="218" t="str">
        <f ca="1">IFERROR(__xludf.DUMMYFUNCTION("""COMPUTED_VALUE"""),"PTR = 61-75")</f>
        <v>PTR = 61-75</v>
      </c>
      <c r="O23" s="218" t="str">
        <f ca="1">IFERROR(__xludf.DUMMYFUNCTION("""COMPUTED_VALUE"""),"PTR = 76 or higher")</f>
        <v>PTR = 76 or higher</v>
      </c>
      <c r="P23" s="219"/>
      <c r="Q23" s="215"/>
      <c r="R23" s="215"/>
      <c r="S23" s="215"/>
      <c r="T23" s="216"/>
      <c r="U23" s="216"/>
    </row>
    <row r="24" spans="1:21" ht="62.5" hidden="1">
      <c r="A24" s="220"/>
      <c r="B24" s="217" t="str">
        <f ca="1">IFERROR(__xludf.DUMMYFUNCTION("""COMPUTED_VALUE"""),"Education")</f>
        <v>Education</v>
      </c>
      <c r="C24" s="217" t="str">
        <f ca="1">IFERROR(__xludf.DUMMYFUNCTION("""COMPUTED_VALUE"""),"Access and learning environment")</f>
        <v>Access and learning environment</v>
      </c>
      <c r="D24" s="217" t="str">
        <f ca="1">IFERROR(__xludf.DUMMYFUNCTION("""COMPUTED_VALUE"""),"Humanitarian conditions")</f>
        <v>Humanitarian conditions</v>
      </c>
      <c r="E24" s="217" t="str">
        <f ca="1">IFERROR(__xludf.DUMMYFUNCTION("""COMPUTED_VALUE"""),"Living Standards")</f>
        <v>Living Standards</v>
      </c>
      <c r="F24" s="217" t="str">
        <f ca="1">IFERROR(__xludf.DUMMYFUNCTION("""COMPUTED_VALUE"""),"Average time needed by school-enrolled children to access the nearest education facility (pre-primary)")</f>
        <v>Average time needed by school-enrolled children to access the nearest education facility (pre-primary)</v>
      </c>
      <c r="G24" s="217"/>
      <c r="H24" s="217"/>
      <c r="I24" s="217" t="str">
        <f ca="1">IFERROR(__xludf.DUMMYFUNCTION("""COMPUTED_VALUE"""),"HH survey / KI")</f>
        <v>HH survey / KI</v>
      </c>
      <c r="J24" s="217"/>
      <c r="K24" s="217" t="str">
        <f ca="1">IFERROR(__xludf.DUMMYFUNCTION("""COMPUTED_VALUE"""),"Less than 20 minutes")</f>
        <v>Less than 20 minutes</v>
      </c>
      <c r="L24" s="217"/>
      <c r="M24" s="217"/>
      <c r="N24" s="217" t="str">
        <f ca="1">IFERROR(__xludf.DUMMYFUNCTION("""COMPUTED_VALUE"""),"Over 20 minutes")</f>
        <v>Over 20 minutes</v>
      </c>
      <c r="O24" s="217"/>
      <c r="P24" s="219"/>
      <c r="Q24" s="215"/>
      <c r="R24" s="215"/>
      <c r="S24" s="215"/>
      <c r="T24" s="216"/>
      <c r="U24" s="216"/>
    </row>
    <row r="25" spans="1:21" ht="50" hidden="1">
      <c r="A25" s="220"/>
      <c r="B25" s="217" t="str">
        <f ca="1">IFERROR(__xludf.DUMMYFUNCTION("""COMPUTED_VALUE"""),"Education")</f>
        <v>Education</v>
      </c>
      <c r="C25" s="217" t="str">
        <f ca="1">IFERROR(__xludf.DUMMYFUNCTION("""COMPUTED_VALUE"""),"Access and learning environment")</f>
        <v>Access and learning environment</v>
      </c>
      <c r="D25" s="217" t="str">
        <f ca="1">IFERROR(__xludf.DUMMYFUNCTION("""COMPUTED_VALUE"""),"Humanitarian conditions")</f>
        <v>Humanitarian conditions</v>
      </c>
      <c r="E25" s="217" t="str">
        <f ca="1">IFERROR(__xludf.DUMMYFUNCTION("""COMPUTED_VALUE"""),"Living Standards")</f>
        <v>Living Standards</v>
      </c>
      <c r="F25" s="217" t="str">
        <f ca="1">IFERROR(__xludf.DUMMYFUNCTION("""COMPUTED_VALUE"""),"Average time needed by school-enrolled children to access the nearest education facility (primary)")</f>
        <v>Average time needed by school-enrolled children to access the nearest education facility (primary)</v>
      </c>
      <c r="G25" s="217"/>
      <c r="H25" s="217"/>
      <c r="I25" s="217" t="str">
        <f ca="1">IFERROR(__xludf.DUMMYFUNCTION("""COMPUTED_VALUE"""),"HH survey / KI")</f>
        <v>HH survey / KI</v>
      </c>
      <c r="J25" s="217"/>
      <c r="K25" s="217" t="str">
        <f ca="1">IFERROR(__xludf.DUMMYFUNCTION("""COMPUTED_VALUE"""),"Less than 20 minutes")</f>
        <v>Less than 20 minutes</v>
      </c>
      <c r="L25" s="217"/>
      <c r="M25" s="217" t="str">
        <f ca="1">IFERROR(__xludf.DUMMYFUNCTION("""COMPUTED_VALUE"""),"20-40 minutes")</f>
        <v>20-40 minutes</v>
      </c>
      <c r="N25" s="217" t="str">
        <f ca="1">IFERROR(__xludf.DUMMYFUNCTION("""COMPUTED_VALUE"""),"Over 40 minutes")</f>
        <v>Over 40 minutes</v>
      </c>
      <c r="O25" s="217"/>
      <c r="P25" s="219"/>
      <c r="Q25" s="215"/>
      <c r="R25" s="215"/>
      <c r="S25" s="215"/>
      <c r="T25" s="216"/>
      <c r="U25" s="216"/>
    </row>
    <row r="26" spans="1:21" ht="62.5" hidden="1">
      <c r="A26" s="220"/>
      <c r="B26" s="217" t="str">
        <f ca="1">IFERROR(__xludf.DUMMYFUNCTION("""COMPUTED_VALUE"""),"Education")</f>
        <v>Education</v>
      </c>
      <c r="C26" s="217" t="str">
        <f ca="1">IFERROR(__xludf.DUMMYFUNCTION("""COMPUTED_VALUE"""),"Access and learning environment")</f>
        <v>Access and learning environment</v>
      </c>
      <c r="D26" s="217" t="str">
        <f ca="1">IFERROR(__xludf.DUMMYFUNCTION("""COMPUTED_VALUE"""),"Humanitarian conditions")</f>
        <v>Humanitarian conditions</v>
      </c>
      <c r="E26" s="217" t="str">
        <f ca="1">IFERROR(__xludf.DUMMYFUNCTION("""COMPUTED_VALUE"""),"Living Standards")</f>
        <v>Living Standards</v>
      </c>
      <c r="F26" s="217" t="str">
        <f ca="1">IFERROR(__xludf.DUMMYFUNCTION("""COMPUTED_VALUE"""),"Average time needed by school-enrolled children to access the nearest education facility (secondary)")</f>
        <v>Average time needed by school-enrolled children to access the nearest education facility (secondary)</v>
      </c>
      <c r="G26" s="217"/>
      <c r="H26" s="217"/>
      <c r="I26" s="217" t="str">
        <f ca="1">IFERROR(__xludf.DUMMYFUNCTION("""COMPUTED_VALUE"""),"HH survey / KI")</f>
        <v>HH survey / KI</v>
      </c>
      <c r="J26" s="217"/>
      <c r="K26" s="217" t="str">
        <f ca="1">IFERROR(__xludf.DUMMYFUNCTION("""COMPUTED_VALUE"""),"Less than 40 minutes")</f>
        <v>Less than 40 minutes</v>
      </c>
      <c r="L26" s="217"/>
      <c r="M26" s="217" t="str">
        <f ca="1">IFERROR(__xludf.DUMMYFUNCTION("""COMPUTED_VALUE"""),"40-60 minutes")</f>
        <v>40-60 minutes</v>
      </c>
      <c r="N26" s="217" t="str">
        <f ca="1">IFERROR(__xludf.DUMMYFUNCTION("""COMPUTED_VALUE"""),"Over 60 minutes")</f>
        <v>Over 60 minutes</v>
      </c>
      <c r="O26" s="217"/>
      <c r="P26" s="219"/>
      <c r="Q26" s="215"/>
      <c r="R26" s="215"/>
      <c r="S26" s="215"/>
      <c r="T26" s="216"/>
      <c r="U26" s="216"/>
    </row>
    <row r="27" spans="1:21" ht="72.5" hidden="1">
      <c r="A27" s="202">
        <f ca="1">IFERROR(__xludf.DUMMYFUNCTION("""COMPUTED_VALUE"""),22)</f>
        <v>22</v>
      </c>
      <c r="B27" s="221" t="str">
        <f ca="1">IFERROR(__xludf.DUMMYFUNCTION("""COMPUTED_VALUE"""),"Food Security")</f>
        <v>Food Security</v>
      </c>
      <c r="C27" s="221" t="str">
        <f ca="1">IFERROR(__xludf.DUMMYFUNCTION("""COMPUTED_VALUE"""),"Food Access")</f>
        <v>Food Access</v>
      </c>
      <c r="D27" s="222" t="str">
        <f ca="1">IFERROR(__xludf.DUMMYFUNCTION("""COMPUTED_VALUE"""),"Humanitarian Conditions")</f>
        <v>Humanitarian Conditions</v>
      </c>
      <c r="E27" s="222" t="str">
        <f ca="1">IFERROR(__xludf.DUMMYFUNCTION("""COMPUTED_VALUE"""),"Coping Mechanisms")</f>
        <v>Coping Mechanisms</v>
      </c>
      <c r="F27" s="222" t="str">
        <f ca="1">IFERROR(__xludf.DUMMYFUNCTION("""COMPUTED_VALUE"""),"Livelihood coping strategy (basic needs)")</f>
        <v>Livelihood coping strategy (basic needs)</v>
      </c>
      <c r="G27" s="223"/>
      <c r="H27" s="221">
        <f ca="1">IFERROR(__xludf.DUMMYFUNCTION("""COMPUTED_VALUE"""),2)</f>
        <v>2</v>
      </c>
      <c r="I27" s="221" t="str">
        <f ca="1">IFERROR(__xludf.DUMMYFUNCTION("""COMPUTED_VALUE"""),"HH survey")</f>
        <v>HH survey</v>
      </c>
      <c r="J27" s="221" t="str">
        <f ca="1">IFERROR(__xludf.DUMMYFUNCTION("""COMPUTED_VALUE"""),"Essential Needs Assessment")</f>
        <v>Essential Needs Assessment</v>
      </c>
      <c r="K27" s="221" t="str">
        <f ca="1">IFERROR(__xludf.DUMMYFUNCTION("""COMPUTED_VALUE"""),"No stress, crisis or emergency coping observed")</f>
        <v>No stress, crisis or emergency coping observed</v>
      </c>
      <c r="L27" s="221" t="str">
        <f ca="1">IFERROR(__xludf.DUMMYFUNCTION("""COMPUTED_VALUE"""),"Stress strategies are the most severe strategies used by the household in the past 30 days")</f>
        <v>Stress strategies are the most severe strategies used by the household in the past 30 days</v>
      </c>
      <c r="M27" s="221" t="str">
        <f ca="1">IFERROR(__xludf.DUMMYFUNCTION("""COMPUTED_VALUE"""),"Crisis strategies are the most severe strategies used by the household in the past 30 days")</f>
        <v>Crisis strategies are the most severe strategies used by the household in the past 30 days</v>
      </c>
      <c r="N27" s="221" t="str">
        <f ca="1">IFERROR(__xludf.DUMMYFUNCTION("""COMPUTED_VALUE"""),"Emergency strategies are the most severe strategies used by the household in the past 30 days")</f>
        <v>Emergency strategies are the most severe strategies used by the household in the past 30 days</v>
      </c>
      <c r="O27" s="221" t="str">
        <f ca="1">IFERROR(__xludf.DUMMYFUNCTION("""COMPUTED_VALUE"""),"Near exhaustion of coping capacity")</f>
        <v>Near exhaustion of coping capacity</v>
      </c>
      <c r="P27" s="224"/>
      <c r="Q27" s="215"/>
      <c r="R27" s="215"/>
      <c r="S27" s="215"/>
      <c r="T27" s="216"/>
      <c r="U27" s="216"/>
    </row>
    <row r="28" spans="1:21" ht="261" hidden="1">
      <c r="A28" s="202">
        <f ca="1">IFERROR(__xludf.DUMMYFUNCTION("""COMPUTED_VALUE"""),23)</f>
        <v>23</v>
      </c>
      <c r="B28" s="221" t="str">
        <f ca="1">IFERROR(__xludf.DUMMYFUNCTION("""COMPUTED_VALUE"""),"Food Security")</f>
        <v>Food Security</v>
      </c>
      <c r="C28" s="221" t="str">
        <f ca="1">IFERROR(__xludf.DUMMYFUNCTION("""COMPUTED_VALUE"""),"Food Access")</f>
        <v>Food Access</v>
      </c>
      <c r="D28" s="222" t="str">
        <f ca="1">IFERROR(__xludf.DUMMYFUNCTION("""COMPUTED_VALUE"""),"Humanitarian Conditions")</f>
        <v>Humanitarian Conditions</v>
      </c>
      <c r="E28" s="222" t="str">
        <f ca="1">IFERROR(__xludf.DUMMYFUNCTION("""COMPUTED_VALUE"""),"Coping Mechanisms")</f>
        <v>Coping Mechanisms</v>
      </c>
      <c r="F28" s="222" t="str">
        <f ca="1">IFERROR(__xludf.DUMMYFUNCTION("""COMPUTED_VALUE"""),"Livelihood coping strategy (food) - 30 day recall")</f>
        <v>Livelihood coping strategy (food) - 30 day recall</v>
      </c>
      <c r="G28" s="223"/>
      <c r="H28" s="221">
        <f ca="1">IFERROR(__xludf.DUMMYFUNCTION("""COMPUTED_VALUE"""),1)</f>
        <v>1</v>
      </c>
      <c r="I28" s="221" t="str">
        <f ca="1">IFERROR(__xludf.DUMMYFUNCTION("""COMPUTED_VALUE"""),"HH survey")</f>
        <v>HH survey</v>
      </c>
      <c r="J28" s="221" t="str">
        <f ca="1">IFERROR(__xludf.DUMMYFUNCTION("""COMPUTED_VALUE"""),"Food security assessment")</f>
        <v>Food security assessment</v>
      </c>
      <c r="K28" s="221" t="str">
        <f ca="1">IFERROR(__xludf.DUMMYFUNCTION("""COMPUTED_VALUE"""),"No stress, crisis or emergency coping observed")</f>
        <v>No stress, crisis or emergency coping observed</v>
      </c>
      <c r="L28" s="221" t="str">
        <f ca="1">IFERROR(__xludf.DUMMYFUNCTION("""COMPUTED_VALUE"""),"Stress strategies ")</f>
        <v xml:space="preserve">Stress strategies </v>
      </c>
      <c r="M28" s="221" t="str">
        <f ca="1">IFERROR(__xludf.DUMMYFUNCTION("""COMPUTED_VALUE"""),"Crisis strategies ")</f>
        <v xml:space="preserve">Crisis strategies </v>
      </c>
      <c r="N28" s="221" t="str">
        <f ca="1">IFERROR(__xludf.DUMMYFUNCTION("""COMPUTED_VALUE"""),"Emergency strategies")</f>
        <v>Emergency strategies</v>
      </c>
      <c r="O28" s="221" t="str">
        <f ca="1">IFERROR(__xludf.DUMMYFUNCTION("""COMPUTED_VALUE"""),"Near exhaustion of coping capacity")</f>
        <v>Near exhaustion of coping capacity</v>
      </c>
      <c r="P28" s="224" t="str">
        <f ca="1">IFERROR(__xludf.DUMMYFUNCTION("""COMPUTED_VALUE"""),"1.1 Sold household assets/goods (radio, furniture, refrigerator, television, jewelry etc..)
1.2 Reduced non-food expenses on health (including drugs) and education
1.3 Sold productive assets or means of transport (sewing machine, wheelbarrow, bicycle, car"&amp;", etc..)
1.4 Spent savings 
1.5 Borrowed money / food from a formal lender / bank
1.6 Sold house or land
1.7 Withdrew children from school
1.8 Sold last female animals
1.9 Begging
1.10 Sold more animals (non-productive) than usual
")</f>
        <v xml:space="preserve">1.1 Sold household assets/goods (radio, furniture, refrigerator, television, jewelry etc..)
1.2 Reduced non-food expenses on health (including drugs) and education
1.3 Sold productive assets or means of transport (sewing machine, wheelbarrow, bicycle, car, etc..)
1.4 Spent savings 
1.5 Borrowed money / food from a formal lender / bank
1.6 Sold house or land
1.7 Withdrew children from school
1.8 Sold last female animals
1.9 Begging
1.10 Sold more animals (non-productive) than usual
</v>
      </c>
      <c r="Q28" s="215"/>
      <c r="R28" s="215"/>
      <c r="S28" s="215"/>
      <c r="T28" s="216"/>
      <c r="U28" s="216"/>
    </row>
    <row r="29" spans="1:21" ht="29" hidden="1">
      <c r="A29" s="202">
        <f ca="1">IFERROR(__xludf.DUMMYFUNCTION("""COMPUTED_VALUE"""),24)</f>
        <v>24</v>
      </c>
      <c r="B29" s="221" t="str">
        <f ca="1">IFERROR(__xludf.DUMMYFUNCTION("""COMPUTED_VALUE"""),"Food Security")</f>
        <v>Food Security</v>
      </c>
      <c r="C29" s="221" t="str">
        <f ca="1">IFERROR(__xludf.DUMMYFUNCTION("""COMPUTED_VALUE"""),"Food Access")</f>
        <v>Food Access</v>
      </c>
      <c r="D29" s="222" t="str">
        <f ca="1">IFERROR(__xludf.DUMMYFUNCTION("""COMPUTED_VALUE"""),"Humanitarian Conditions")</f>
        <v>Humanitarian Conditions</v>
      </c>
      <c r="E29" s="222" t="str">
        <f ca="1">IFERROR(__xludf.DUMMYFUNCTION("""COMPUTED_VALUE"""),"Living Standards")</f>
        <v>Living Standards</v>
      </c>
      <c r="F29" s="222" t="str">
        <f ca="1">IFERROR(__xludf.DUMMYFUNCTION("""COMPUTED_VALUE"""),"Food Expenditure share")</f>
        <v>Food Expenditure share</v>
      </c>
      <c r="G29" s="223"/>
      <c r="H29" s="221">
        <f ca="1">IFERROR(__xludf.DUMMYFUNCTION("""COMPUTED_VALUE"""),1)</f>
        <v>1</v>
      </c>
      <c r="I29" s="221" t="str">
        <f ca="1">IFERROR(__xludf.DUMMYFUNCTION("""COMPUTED_VALUE"""),"HH survey")</f>
        <v>HH survey</v>
      </c>
      <c r="J29" s="221" t="str">
        <f ca="1">IFERROR(__xludf.DUMMYFUNCTION("""COMPUTED_VALUE"""),"Food security assessment")</f>
        <v>Food security assessment</v>
      </c>
      <c r="K29" s="221" t="str">
        <f ca="1">IFERROR(__xludf.DUMMYFUNCTION("""COMPUTED_VALUE"""),"&lt;50%")</f>
        <v>&lt;50%</v>
      </c>
      <c r="L29" s="221" t="str">
        <f ca="1">IFERROR(__xludf.DUMMYFUNCTION("""COMPUTED_VALUE"""),"50-65%")</f>
        <v>50-65%</v>
      </c>
      <c r="M29" s="221" t="str">
        <f ca="1">IFERROR(__xludf.DUMMYFUNCTION("""COMPUTED_VALUE"""),"65-75%")</f>
        <v>65-75%</v>
      </c>
      <c r="N29" s="221" t="str">
        <f ca="1">IFERROR(__xludf.DUMMYFUNCTION("""COMPUTED_VALUE"""),"75% - 85%")</f>
        <v>75% - 85%</v>
      </c>
      <c r="O29" s="221" t="str">
        <f ca="1">IFERROR(__xludf.DUMMYFUNCTION("""COMPUTED_VALUE"""),"&gt; 85%")</f>
        <v>&gt; 85%</v>
      </c>
      <c r="P29" s="224"/>
      <c r="Q29" s="215"/>
      <c r="R29" s="215"/>
      <c r="S29" s="215"/>
      <c r="T29" s="216"/>
      <c r="U29" s="216"/>
    </row>
    <row r="30" spans="1:21" ht="43.5" hidden="1">
      <c r="A30" s="202">
        <f ca="1">IFERROR(__xludf.DUMMYFUNCTION("""COMPUTED_VALUE"""),25)</f>
        <v>25</v>
      </c>
      <c r="B30" s="221" t="str">
        <f ca="1">IFERROR(__xludf.DUMMYFUNCTION("""COMPUTED_VALUE"""),"Food Security")</f>
        <v>Food Security</v>
      </c>
      <c r="C30" s="221" t="str">
        <f ca="1">IFERROR(__xludf.DUMMYFUNCTION("""COMPUTED_VALUE"""),"Food Access")</f>
        <v>Food Access</v>
      </c>
      <c r="D30" s="222" t="str">
        <f ca="1">IFERROR(__xludf.DUMMYFUNCTION("""COMPUTED_VALUE"""),"Humanitarian Conditions")</f>
        <v>Humanitarian Conditions</v>
      </c>
      <c r="E30" s="222" t="str">
        <f ca="1">IFERROR(__xludf.DUMMYFUNCTION("""COMPUTED_VALUE"""),"Living Standards")</f>
        <v>Living Standards</v>
      </c>
      <c r="F30" s="222" t="str">
        <f ca="1">IFERROR(__xludf.DUMMYFUNCTION("""COMPUTED_VALUE"""),"Household Economy Approach (HEA)")</f>
        <v>Household Economy Approach (HEA)</v>
      </c>
      <c r="G30" s="223"/>
      <c r="H30" s="221">
        <f ca="1">IFERROR(__xludf.DUMMYFUNCTION("""COMPUTED_VALUE"""),2)</f>
        <v>2</v>
      </c>
      <c r="I30" s="221" t="str">
        <f ca="1">IFERROR(__xludf.DUMMYFUNCTION("""COMPUTED_VALUE"""),"HH survey")</f>
        <v>HH survey</v>
      </c>
      <c r="J30" s="221" t="str">
        <f ca="1">IFERROR(__xludf.DUMMYFUNCTION("""COMPUTED_VALUE"""),"HEA survey")</f>
        <v>HEA survey</v>
      </c>
      <c r="K30" s="221" t="str">
        <f ca="1">IFERROR(__xludf.DUMMYFUNCTION("""COMPUTED_VALUE"""),"No livelihood protection deficit")</f>
        <v>No livelihood protection deficit</v>
      </c>
      <c r="L30" s="221" t="str">
        <f ca="1">IFERROR(__xludf.DUMMYFUNCTION("""COMPUTED_VALUE"""),"Small or moderate livelihood protection deficit &lt;80%")</f>
        <v>Small or moderate livelihood protection deficit &lt;80%</v>
      </c>
      <c r="M30" s="221" t="str">
        <f ca="1">IFERROR(__xludf.DUMMYFUNCTION("""COMPUTED_VALUE"""),"Livelihood protection deficit ≥80%, survival deficit &lt;20%")</f>
        <v>Livelihood protection deficit ≥80%, survival deficit &lt;20%</v>
      </c>
      <c r="N30" s="221" t="str">
        <f ca="1">IFERROR(__xludf.DUMMYFUNCTION("""COMPUTED_VALUE"""),"Survival deficit ≥20% but &lt;50%")</f>
        <v>Survival deficit ≥20% but &lt;50%</v>
      </c>
      <c r="O30" s="221" t="str">
        <f ca="1">IFERROR(__xludf.DUMMYFUNCTION("""COMPUTED_VALUE"""),"Survival deficit ≥50%")</f>
        <v>Survival deficit ≥50%</v>
      </c>
      <c r="P30" s="224"/>
      <c r="Q30" s="215"/>
      <c r="R30" s="215"/>
      <c r="S30" s="215"/>
      <c r="T30" s="216"/>
      <c r="U30" s="216"/>
    </row>
    <row r="31" spans="1:21" ht="275.5" hidden="1">
      <c r="A31" s="202">
        <f ca="1">IFERROR(__xludf.DUMMYFUNCTION("""COMPUTED_VALUE"""),26)</f>
        <v>26</v>
      </c>
      <c r="B31" s="221" t="str">
        <f ca="1">IFERROR(__xludf.DUMMYFUNCTION("""COMPUTED_VALUE"""),"Food Security")</f>
        <v>Food Security</v>
      </c>
      <c r="C31" s="221" t="str">
        <f ca="1">IFERROR(__xludf.DUMMYFUNCTION("""COMPUTED_VALUE"""),"Food Access")</f>
        <v>Food Access</v>
      </c>
      <c r="D31" s="222" t="str">
        <f ca="1">IFERROR(__xludf.DUMMYFUNCTION("""COMPUTED_VALUE"""),"Humanitarian Conditions")</f>
        <v>Humanitarian Conditions</v>
      </c>
      <c r="E31" s="222" t="str">
        <f ca="1">IFERROR(__xludf.DUMMYFUNCTION("""COMPUTED_VALUE"""),"Physical and Mental Wellbeing")</f>
        <v>Physical and Mental Wellbeing</v>
      </c>
      <c r="F31" s="222" t="str">
        <f ca="1">IFERROR(__xludf.DUMMYFUNCTION("""COMPUTED_VALUE"""),"Household Hunger Scale (HHS)")</f>
        <v>Household Hunger Scale (HHS)</v>
      </c>
      <c r="G31" s="223"/>
      <c r="H31" s="221">
        <f ca="1">IFERROR(__xludf.DUMMYFUNCTION("""COMPUTED_VALUE"""),1)</f>
        <v>1</v>
      </c>
      <c r="I31" s="221" t="str">
        <f ca="1">IFERROR(__xludf.DUMMYFUNCTION("""COMPUTED_VALUE"""),"HH survey")</f>
        <v>HH survey</v>
      </c>
      <c r="J31" s="221" t="str">
        <f ca="1">IFERROR(__xludf.DUMMYFUNCTION("""COMPUTED_VALUE"""),"Food security assessment")</f>
        <v>Food security assessment</v>
      </c>
      <c r="K31" s="221" t="str">
        <f ca="1">IFERROR(__xludf.DUMMYFUNCTION("""COMPUTED_VALUE"""),"0 (none)")</f>
        <v>0 (none)</v>
      </c>
      <c r="L31" s="221" t="str">
        <f ca="1">IFERROR(__xludf.DUMMYFUNCTION("""COMPUTED_VALUE"""),"1 (slight)")</f>
        <v>1 (slight)</v>
      </c>
      <c r="M31" s="221" t="str">
        <f ca="1">IFERROR(__xludf.DUMMYFUNCTION("""COMPUTED_VALUE"""),"2 or 3 (moderate)")</f>
        <v>2 or 3 (moderate)</v>
      </c>
      <c r="N31" s="221" t="str">
        <f ca="1">IFERROR(__xludf.DUMMYFUNCTION("""COMPUTED_VALUE"""),"4 (severe)")</f>
        <v>4 (severe)</v>
      </c>
      <c r="O31" s="221" t="str">
        <f ca="1">IFERROR(__xludf.DUMMYFUNCTION("""COMPUTED_VALUE"""),"5 or 6 (severe)")</f>
        <v>5 or 6 (severe)</v>
      </c>
      <c r="P31" s="224" t="str">
        <f ca="1">IFERROR(__xludf.DUMMYFUNCTION("""COMPUTED_VALUE"""),"Q1        In the past [4 weeks/30 days], was there ever no food to eat of any kind in your house because of lack of resources to get food?
    Q1a      How often did this happen in the past [4 weeks/30 days]?
Q2        In the past [4 weeks/30 days], did y"&amp;"ou or any household member go to sleep at night hungry because there was not enough food?
   Q2a      How often did this happen in the past [4 weeks/30 days]?
Q3        In the past [4 weeks/30 days], did you or any household member go a whole day and nigh"&amp;"t without eating anything at all because there was not enough food?
    Q3a      How often did this happen in the past [4 weeks/30 days]?
")</f>
        <v xml:space="preserve">Q1        In the past [4 weeks/30 days], was there ever no food to eat of any kind in your house because of lack of resources to get food?
    Q1a      How often did this happen in the past [4 weeks/30 days]?
Q2        In the past [4 weeks/30 days], did you or any household member go to sleep at night hungry because there was not enough food?
   Q2a      How often did this happen in the past [4 weeks/30 days]?
Q3        In the past [4 weeks/30 days], did you or any household member go a whole day and night without eating anything at all because there was not enough food?
    Q3a      How often did this happen in the past [4 weeks/30 days]?
</v>
      </c>
      <c r="Q31" s="215"/>
      <c r="R31" s="215"/>
      <c r="S31" s="215"/>
      <c r="T31" s="216"/>
      <c r="U31" s="216"/>
    </row>
    <row r="32" spans="1:21" ht="159.5" hidden="1">
      <c r="A32" s="202">
        <f ca="1">IFERROR(__xludf.DUMMYFUNCTION("""COMPUTED_VALUE"""),27)</f>
        <v>27</v>
      </c>
      <c r="B32" s="221" t="str">
        <f ca="1">IFERROR(__xludf.DUMMYFUNCTION("""COMPUTED_VALUE"""),"Food Security")</f>
        <v>Food Security</v>
      </c>
      <c r="C32" s="221" t="str">
        <f ca="1">IFERROR(__xludf.DUMMYFUNCTION("""COMPUTED_VALUE"""),"Food Access")</f>
        <v>Food Access</v>
      </c>
      <c r="D32" s="222" t="str">
        <f ca="1">IFERROR(__xludf.DUMMYFUNCTION("""COMPUTED_VALUE"""),"Humanitarian Conditions")</f>
        <v>Humanitarian Conditions</v>
      </c>
      <c r="E32" s="222" t="str">
        <f ca="1">IFERROR(__xludf.DUMMYFUNCTION("""COMPUTED_VALUE"""),"Physical and Mental Wellbeing")</f>
        <v>Physical and Mental Wellbeing</v>
      </c>
      <c r="F32" s="222" t="str">
        <f ca="1">IFERROR(__xludf.DUMMYFUNCTION("""COMPUTED_VALUE"""),"Reduced Coping Strategies Index")</f>
        <v>Reduced Coping Strategies Index</v>
      </c>
      <c r="G32" s="223"/>
      <c r="H32" s="221">
        <f ca="1">IFERROR(__xludf.DUMMYFUNCTION("""COMPUTED_VALUE"""),1)</f>
        <v>1</v>
      </c>
      <c r="I32" s="221" t="str">
        <f ca="1">IFERROR(__xludf.DUMMYFUNCTION("""COMPUTED_VALUE"""),"HH survey")</f>
        <v>HH survey</v>
      </c>
      <c r="J32" s="221" t="str">
        <f ca="1">IFERROR(__xludf.DUMMYFUNCTION("""COMPUTED_VALUE"""),"Food security assessment")</f>
        <v>Food security assessment</v>
      </c>
      <c r="K32" s="221" t="str">
        <f ca="1">IFERROR(__xludf.DUMMYFUNCTION("""COMPUTED_VALUE"""),"0 to 3")</f>
        <v>0 to 3</v>
      </c>
      <c r="L32" s="221" t="str">
        <f ca="1">IFERROR(__xludf.DUMMYFUNCTION("""COMPUTED_VALUE"""),"4 to 18")</f>
        <v>4 to 18</v>
      </c>
      <c r="M32" s="221" t="str">
        <f ca="1">IFERROR(__xludf.DUMMYFUNCTION("""COMPUTED_VALUE"""),"≥ 19")</f>
        <v>≥ 19</v>
      </c>
      <c r="N32" s="221" t="str">
        <f ca="1">IFERROR(__xludf.DUMMYFUNCTION("""COMPUTED_VALUE"""),"≥ 19")</f>
        <v>≥ 19</v>
      </c>
      <c r="O32" s="221" t="str">
        <f ca="1">IFERROR(__xludf.DUMMYFUNCTION("""COMPUTED_VALUE"""),"≥ 19")</f>
        <v>≥ 19</v>
      </c>
      <c r="P32" s="224" t="str">
        <f ca="1">IFERROR(__xludf.DUMMYFUNCTION("""COMPUTED_VALUE"""),"1. Relied on less preferred, less expensive food
2. Borrowed food or relied on help from friends or relatives
3. Reduced the number of meals eaten per day
4. Reduced portion size of meals at meals time 
5. Restrict consumption by adults in order for y"&amp;"oung-children to eat
")</f>
        <v xml:space="preserve">1. Relied on less preferred, less expensive food
2. Borrowed food or relied on help from friends or relatives
3. Reduced the number of meals eaten per day
4. Reduced portion size of meals at meals time 
5. Restrict consumption by adults in order for young-children to eat
</v>
      </c>
      <c r="Q32" s="215"/>
      <c r="R32" s="215"/>
      <c r="S32" s="215"/>
      <c r="T32" s="216"/>
      <c r="U32" s="216"/>
    </row>
    <row r="33" spans="1:21" ht="130.5" hidden="1">
      <c r="A33" s="202">
        <f ca="1">IFERROR(__xludf.DUMMYFUNCTION("""COMPUTED_VALUE"""),28)</f>
        <v>28</v>
      </c>
      <c r="B33" s="221" t="str">
        <f ca="1">IFERROR(__xludf.DUMMYFUNCTION("""COMPUTED_VALUE"""),"Food Security")</f>
        <v>Food Security</v>
      </c>
      <c r="C33" s="221" t="str">
        <f ca="1">IFERROR(__xludf.DUMMYFUNCTION("""COMPUTED_VALUE"""),"Food Availability/Access")</f>
        <v>Food Availability/Access</v>
      </c>
      <c r="D33" s="222" t="str">
        <f ca="1">IFERROR(__xludf.DUMMYFUNCTION("""COMPUTED_VALUE"""),"Humanitarian Conditions")</f>
        <v>Humanitarian Conditions</v>
      </c>
      <c r="E33" s="222" t="str">
        <f ca="1">IFERROR(__xludf.DUMMYFUNCTION("""COMPUTED_VALUE"""),"Living Standards")</f>
        <v>Living Standards</v>
      </c>
      <c r="F33" s="222" t="str">
        <f ca="1">IFERROR(__xludf.DUMMYFUNCTION("""COMPUTED_VALUE"""),"Food Production losses")</f>
        <v>Food Production losses</v>
      </c>
      <c r="G33" s="223"/>
      <c r="H33" s="221">
        <f ca="1">IFERROR(__xludf.DUMMYFUNCTION("""COMPUTED_VALUE"""),1)</f>
        <v>1</v>
      </c>
      <c r="I33" s="221" t="str">
        <f ca="1">IFERROR(__xludf.DUMMYFUNCTION("""COMPUTED_VALUE"""),"HH survey, official estimates, remote sensing")</f>
        <v>HH survey, official estimates, remote sensing</v>
      </c>
      <c r="J33" s="221" t="str">
        <f ca="1">IFERROR(__xludf.DUMMYFUNCTION("""COMPUTED_VALUE"""),"Food security assessment, Agriculture survey (e.g. CFSAM), Ministry of Agriculture, Satellite imagery")</f>
        <v>Food security assessment, Agriculture survey (e.g. CFSAM), Ministry of Agriculture, Satellite imagery</v>
      </c>
      <c r="K33" s="221" t="str">
        <f ca="1">IFERROR(__xludf.DUMMYFUNCTION("""COMPUTED_VALUE"""),"In the average")</f>
        <v>In the average</v>
      </c>
      <c r="L33" s="221" t="str">
        <f ca="1">IFERROR(__xludf.DUMMYFUNCTION("""COMPUTED_VALUE"""),"Small production losses compared to average &lt;75%")</f>
        <v>Small production losses compared to average &lt;75%</v>
      </c>
      <c r="M33" s="221" t="str">
        <f ca="1">IFERROR(__xludf.DUMMYFUNCTION("""COMPUTED_VALUE"""),"Significant production losses compared to average 50-75%")</f>
        <v>Significant production losses compared to average 50-75%</v>
      </c>
      <c r="N33" s="221" t="str">
        <f ca="1">IFERROR(__xludf.DUMMYFUNCTION("""COMPUTED_VALUE"""),"High production losses compared to average 25-50%")</f>
        <v>High production losses compared to average 25-50%</v>
      </c>
      <c r="O33" s="221" t="str">
        <f ca="1">IFERROR(__xludf.DUMMYFUNCTION("""COMPUTED_VALUE"""),"No production or near total crop loss &lt;25%")</f>
        <v>No production or near total crop loss &lt;25%</v>
      </c>
      <c r="P33" s="224" t="str">
        <f ca="1">IFERROR(__xludf.DUMMYFUNCTION("""COMPUTED_VALUE"""),"Considering main staple food in the area, compared to a normal year, using five years average or longer if food production has been affected by exceptional factors over several of the past 5 years. Note that these thresholds are not based on international"&amp;" standards, they need to be adjusted to the context.")</f>
        <v>Considering main staple food in the area, compared to a normal year, using five years average or longer if food production has been affected by exceptional factors over several of the past 5 years. Note that these thresholds are not based on international standards, they need to be adjusted to the context.</v>
      </c>
      <c r="Q33" s="215"/>
      <c r="R33" s="215"/>
      <c r="S33" s="215"/>
      <c r="T33" s="216"/>
      <c r="U33" s="216"/>
    </row>
    <row r="34" spans="1:21" ht="72.5" hidden="1">
      <c r="A34" s="202">
        <f ca="1">IFERROR(__xludf.DUMMYFUNCTION("""COMPUTED_VALUE"""),29)</f>
        <v>29</v>
      </c>
      <c r="B34" s="221" t="str">
        <f ca="1">IFERROR(__xludf.DUMMYFUNCTION("""COMPUTED_VALUE"""),"Food Security")</f>
        <v>Food Security</v>
      </c>
      <c r="C34" s="221" t="str">
        <f ca="1">IFERROR(__xludf.DUMMYFUNCTION("""COMPUTED_VALUE"""),"Food Availability/Access")</f>
        <v>Food Availability/Access</v>
      </c>
      <c r="D34" s="222" t="str">
        <f ca="1">IFERROR(__xludf.DUMMYFUNCTION("""COMPUTED_VALUE"""),"Humanitarian Conditions")</f>
        <v>Humanitarian Conditions</v>
      </c>
      <c r="E34" s="222" t="str">
        <f ca="1">IFERROR(__xludf.DUMMYFUNCTION("""COMPUTED_VALUE"""),"Living Standards")</f>
        <v>Living Standards</v>
      </c>
      <c r="F34" s="222" t="str">
        <f ca="1">IFERROR(__xludf.DUMMYFUNCTION("""COMPUTED_VALUE"""),"Productive assets losses")</f>
        <v>Productive assets losses</v>
      </c>
      <c r="G34" s="223"/>
      <c r="H34" s="221">
        <f ca="1">IFERROR(__xludf.DUMMYFUNCTION("""COMPUTED_VALUE"""),1)</f>
        <v>1</v>
      </c>
      <c r="I34" s="221" t="str">
        <f ca="1">IFERROR(__xludf.DUMMYFUNCTION("""COMPUTED_VALUE"""),"HH survey")</f>
        <v>HH survey</v>
      </c>
      <c r="J34" s="221" t="str">
        <f ca="1">IFERROR(__xludf.DUMMYFUNCTION("""COMPUTED_VALUE"""),"Food security, Agriculture, Livelihood assessment")</f>
        <v>Food security, Agriculture, Livelihood assessment</v>
      </c>
      <c r="K34" s="221" t="str">
        <f ca="1">IFERROR(__xludf.DUMMYFUNCTION("""COMPUTED_VALUE"""),"No livelihood asset loss")</f>
        <v>No livelihood asset loss</v>
      </c>
      <c r="L34" s="221" t="str">
        <f ca="1">IFERROR(__xludf.DUMMYFUNCTION("""COMPUTED_VALUE"""),"Moderate loss of livelihood assets")</f>
        <v>Moderate loss of livelihood assets</v>
      </c>
      <c r="M34" s="221" t="str">
        <f ca="1">IFERROR(__xludf.DUMMYFUNCTION("""COMPUTED_VALUE"""),"Significant loss of livelihood assets")</f>
        <v>Significant loss of livelihood assets</v>
      </c>
      <c r="N34" s="221" t="str">
        <f ca="1">IFERROR(__xludf.DUMMYFUNCTION("""COMPUTED_VALUE"""),"Severe loss of livelihood assets")</f>
        <v>Severe loss of livelihood assets</v>
      </c>
      <c r="O34" s="221" t="str">
        <f ca="1">IFERROR(__xludf.DUMMYFUNCTION("""COMPUTED_VALUE"""),"Total loss of all productive assets")</f>
        <v>Total loss of all productive assets</v>
      </c>
      <c r="P34" s="224" t="str">
        <f ca="1">IFERROR(__xludf.DUMMYFUNCTION("""COMPUTED_VALUE"""),"Productive assets depending of agricultural subsectors: farming (land or access to land, seeds, perennial crops, key tools), livestock, fishing (access to sea, fishing gear and vessels)")</f>
        <v>Productive assets depending of agricultural subsectors: farming (land or access to land, seeds, perennial crops, key tools), livestock, fishing (access to sea, fishing gear and vessels)</v>
      </c>
      <c r="Q34" s="215"/>
      <c r="R34" s="215"/>
      <c r="S34" s="215"/>
      <c r="T34" s="216"/>
      <c r="U34" s="216"/>
    </row>
    <row r="35" spans="1:21" ht="159.5" hidden="1">
      <c r="A35" s="202">
        <f ca="1">IFERROR(__xludf.DUMMYFUNCTION("""COMPUTED_VALUE"""),30)</f>
        <v>30</v>
      </c>
      <c r="B35" s="221" t="str">
        <f ca="1">IFERROR(__xludf.DUMMYFUNCTION("""COMPUTED_VALUE"""),"Food Security")</f>
        <v>Food Security</v>
      </c>
      <c r="C35" s="221" t="str">
        <f ca="1">IFERROR(__xludf.DUMMYFUNCTION("""COMPUTED_VALUE"""),"Food Availability/Access/Utilization")</f>
        <v>Food Availability/Access/Utilization</v>
      </c>
      <c r="D35" s="222" t="str">
        <f ca="1">IFERROR(__xludf.DUMMYFUNCTION("""COMPUTED_VALUE"""),"Humanitarian Conditions")</f>
        <v>Humanitarian Conditions</v>
      </c>
      <c r="E35" s="222" t="str">
        <f ca="1">IFERROR(__xludf.DUMMYFUNCTION("""COMPUTED_VALUE"""),"Physical and Mental Wellbeing")</f>
        <v>Physical and Mental Wellbeing</v>
      </c>
      <c r="F35" s="222" t="str">
        <f ca="1">IFERROR(__xludf.DUMMYFUNCTION("""COMPUTED_VALUE"""),"Food Consumption Score")</f>
        <v>Food Consumption Score</v>
      </c>
      <c r="G35" s="223"/>
      <c r="H35" s="221">
        <f ca="1">IFERROR(__xludf.DUMMYFUNCTION("""COMPUTED_VALUE"""),1)</f>
        <v>1</v>
      </c>
      <c r="I35" s="221" t="str">
        <f ca="1">IFERROR(__xludf.DUMMYFUNCTION("""COMPUTED_VALUE"""),"HH survey")</f>
        <v>HH survey</v>
      </c>
      <c r="J35" s="221" t="str">
        <f ca="1">IFERROR(__xludf.DUMMYFUNCTION("""COMPUTED_VALUE"""),"Food security assessment")</f>
        <v>Food security assessment</v>
      </c>
      <c r="K35" s="221" t="str">
        <f ca="1">IFERROR(__xludf.DUMMYFUNCTION("""COMPUTED_VALUE"""),"Acceptable and stable")</f>
        <v>Acceptable and stable</v>
      </c>
      <c r="L35" s="221" t="str">
        <f ca="1">IFERROR(__xludf.DUMMYFUNCTION("""COMPUTED_VALUE"""),"Acceptable but deterioration from typical")</f>
        <v>Acceptable but deterioration from typical</v>
      </c>
      <c r="M35" s="221" t="str">
        <f ca="1">IFERROR(__xludf.DUMMYFUNCTION("""COMPUTED_VALUE"""),"Borderline")</f>
        <v>Borderline</v>
      </c>
      <c r="N35" s="221" t="str">
        <f ca="1">IFERROR(__xludf.DUMMYFUNCTION("""COMPUTED_VALUE"""),"Poor")</f>
        <v>Poor</v>
      </c>
      <c r="O35" s="221" t="str">
        <f ca="1">IFERROR(__xludf.DUMMYFUNCTION("""COMPUTED_VALUE"""),"Poor")</f>
        <v>Poor</v>
      </c>
      <c r="P35" s="224" t="str">
        <f ca="1">IFERROR(__xludf.DUMMYFUNCTION("""COMPUTED_VALUE"""),"Food items/groups:
Cereals or tubers
Pulses and groundnuts
Milk and milk products
Eggs, meat, fish, shells
Vegetables
Fruits
Sugar
Oil
Condiments
")</f>
        <v xml:space="preserve">Food items/groups:
Cereals or tubers
Pulses and groundnuts
Milk and milk products
Eggs, meat, fish, shells
Vegetables
Fruits
Sugar
Oil
Condiments
</v>
      </c>
      <c r="Q35" s="215"/>
      <c r="R35" s="215"/>
      <c r="S35" s="215"/>
      <c r="T35" s="216"/>
      <c r="U35" s="216"/>
    </row>
    <row r="36" spans="1:21" ht="101.5" hidden="1">
      <c r="A36" s="202">
        <f ca="1">IFERROR(__xludf.DUMMYFUNCTION("""COMPUTED_VALUE"""),31)</f>
        <v>31</v>
      </c>
      <c r="B36" s="221" t="str">
        <f ca="1">IFERROR(__xludf.DUMMYFUNCTION("""COMPUTED_VALUE"""),"Food Security")</f>
        <v>Food Security</v>
      </c>
      <c r="C36" s="221" t="str">
        <f ca="1">IFERROR(__xludf.DUMMYFUNCTION("""COMPUTED_VALUE"""),"Food Availability/Access/Utilization")</f>
        <v>Food Availability/Access/Utilization</v>
      </c>
      <c r="D36" s="222" t="str">
        <f ca="1">IFERROR(__xludf.DUMMYFUNCTION("""COMPUTED_VALUE"""),"Humanitarian Conditions")</f>
        <v>Humanitarian Conditions</v>
      </c>
      <c r="E36" s="222" t="str">
        <f ca="1">IFERROR(__xludf.DUMMYFUNCTION("""COMPUTED_VALUE"""),"Physical and Mental Wellbeing")</f>
        <v>Physical and Mental Wellbeing</v>
      </c>
      <c r="F36" s="222" t="str">
        <f ca="1">IFERROR(__xludf.DUMMYFUNCTION("""COMPUTED_VALUE"""),"IPC/CH - for all IPC/CH countries with updated analysis - if up-to-date IPC analysis results are not available, other FS indicators can be used for FS sector")</f>
        <v>IPC/CH - for all IPC/CH countries with updated analysis - if up-to-date IPC analysis results are not available, other FS indicators can be used for FS sector</v>
      </c>
      <c r="G36" s="223"/>
      <c r="H36" s="221">
        <f ca="1">IFERROR(__xludf.DUMMYFUNCTION("""COMPUTED_VALUE"""),1)</f>
        <v>1</v>
      </c>
      <c r="I36" s="221" t="str">
        <f ca="1">IFERROR(__xludf.DUMMYFUNCTION("""COMPUTED_VALUE"""),"IPC analysis")</f>
        <v>IPC analysis</v>
      </c>
      <c r="J36" s="221" t="str">
        <f ca="1">IFERROR(__xludf.DUMMYFUNCTION("""COMPUTED_VALUE"""),"IPC analysis")</f>
        <v>IPC analysis</v>
      </c>
      <c r="K36" s="223"/>
      <c r="L36" s="223"/>
      <c r="M36" s="223"/>
      <c r="N36" s="223"/>
      <c r="O36" s="221"/>
      <c r="P36" s="224"/>
      <c r="Q36" s="215"/>
      <c r="R36" s="215"/>
      <c r="S36" s="215"/>
      <c r="T36" s="216"/>
      <c r="U36" s="216"/>
    </row>
    <row r="37" spans="1:21" ht="43.5" hidden="1">
      <c r="A37" s="202">
        <f ca="1">IFERROR(__xludf.DUMMYFUNCTION("""COMPUTED_VALUE"""),32)</f>
        <v>32</v>
      </c>
      <c r="B37" s="221" t="str">
        <f ca="1">IFERROR(__xludf.DUMMYFUNCTION("""COMPUTED_VALUE"""),"Food Security")</f>
        <v>Food Security</v>
      </c>
      <c r="C37" s="221" t="str">
        <f ca="1">IFERROR(__xludf.DUMMYFUNCTION("""COMPUTED_VALUE"""),"Food Utilization")</f>
        <v>Food Utilization</v>
      </c>
      <c r="D37" s="222" t="str">
        <f ca="1">IFERROR(__xludf.DUMMYFUNCTION("""COMPUTED_VALUE"""),"Humanitarian Conditions")</f>
        <v>Humanitarian Conditions</v>
      </c>
      <c r="E37" s="222" t="str">
        <f ca="1">IFERROR(__xludf.DUMMYFUNCTION("""COMPUTED_VALUE"""),"Physical and Mental Wellbeing")</f>
        <v>Physical and Mental Wellbeing</v>
      </c>
      <c r="F37" s="222" t="str">
        <f ca="1">IFERROR(__xludf.DUMMYFUNCTION("""COMPUTED_VALUE"""),"Household Dietary Diversity Score")</f>
        <v>Household Dietary Diversity Score</v>
      </c>
      <c r="G37" s="223"/>
      <c r="H37" s="221">
        <f ca="1">IFERROR(__xludf.DUMMYFUNCTION("""COMPUTED_VALUE"""),2)</f>
        <v>2</v>
      </c>
      <c r="I37" s="221" t="str">
        <f ca="1">IFERROR(__xludf.DUMMYFUNCTION("""COMPUTED_VALUE"""),"HH survey")</f>
        <v>HH survey</v>
      </c>
      <c r="J37" s="221" t="str">
        <f ca="1">IFERROR(__xludf.DUMMYFUNCTION("""COMPUTED_VALUE"""),"Food security assessment")</f>
        <v>Food security assessment</v>
      </c>
      <c r="K37" s="221" t="str">
        <f ca="1">IFERROR(__xludf.DUMMYFUNCTION("""COMPUTED_VALUE"""),"5-12 food groups and stable")</f>
        <v>5-12 food groups and stable</v>
      </c>
      <c r="L37" s="221" t="str">
        <f ca="1">IFERROR(__xludf.DUMMYFUNCTION("""COMPUTED_VALUE"""),"5-FG but deterioration ≥1 FG from typical")</f>
        <v>5-FG but deterioration ≥1 FG from typical</v>
      </c>
      <c r="M37" s="221" t="str">
        <f ca="1">IFERROR(__xludf.DUMMYFUNCTION("""COMPUTED_VALUE"""),"3-4 FG")</f>
        <v>3-4 FG</v>
      </c>
      <c r="N37" s="221" t="str">
        <f ca="1">IFERROR(__xludf.DUMMYFUNCTION("""COMPUTED_VALUE"""),"0-2 FG")</f>
        <v>0-2 FG</v>
      </c>
      <c r="O37" s="221" t="str">
        <f ca="1">IFERROR(__xludf.DUMMYFUNCTION("""COMPUTED_VALUE"""),"0-2 FG")</f>
        <v>0-2 FG</v>
      </c>
      <c r="P37" s="224"/>
      <c r="Q37" s="215"/>
      <c r="R37" s="215"/>
      <c r="S37" s="215"/>
      <c r="T37" s="216"/>
      <c r="U37" s="216"/>
    </row>
    <row r="38" spans="1:21" ht="137.5" hidden="1">
      <c r="A38" s="202">
        <f ca="1">IFERROR(__xludf.DUMMYFUNCTION("""COMPUTED_VALUE"""),33)</f>
        <v>33</v>
      </c>
      <c r="B38" s="212" t="str">
        <f ca="1">IFERROR(__xludf.DUMMYFUNCTION("""COMPUTED_VALUE"""),"Health")</f>
        <v>Health</v>
      </c>
      <c r="C38" s="212" t="str">
        <f ca="1">IFERROR(__xludf.DUMMYFUNCTION("""COMPUTED_VALUE"""),"Child Health")</f>
        <v>Child Health</v>
      </c>
      <c r="D38" s="213" t="str">
        <f ca="1">IFERROR(__xludf.DUMMYFUNCTION("""COMPUTED_VALUE"""),"Humanitarian conditions")</f>
        <v>Humanitarian conditions</v>
      </c>
      <c r="E38" s="213" t="str">
        <f ca="1">IFERROR(__xludf.DUMMYFUNCTION("""COMPUTED_VALUE"""),"Physical and Mental Wellbeing")</f>
        <v>Physical and Mental Wellbeing</v>
      </c>
      <c r="F38" s="213" t="str">
        <f ca="1">IFERROR(__xludf.DUMMYFUNCTION("""COMPUTED_VALUE"""),"Coverage of DTC3 (DPT3 / PENTA3) in &lt; 1 year old, by administrative unit")</f>
        <v>Coverage of DTC3 (DPT3 / PENTA3) in &lt; 1 year old, by administrative unit</v>
      </c>
      <c r="G38" s="212"/>
      <c r="H38" s="212">
        <f ca="1">IFERROR(__xludf.DUMMYFUNCTION("""COMPUTED_VALUE"""),1)</f>
        <v>1</v>
      </c>
      <c r="I38" s="212"/>
      <c r="J38" s="212" t="str">
        <f ca="1">IFERROR(__xludf.DUMMYFUNCTION("""COMPUTED_VALUE"""),"HMIS/HIS, Survey")</f>
        <v>HMIS/HIS, Survey</v>
      </c>
      <c r="K38" s="213" t="str">
        <f ca="1">IFERROR(__xludf.DUMMYFUNCTION("""COMPUTED_VALUE"""),"&gt;= 95%")</f>
        <v>&gt;= 95%</v>
      </c>
      <c r="L38" s="213" t="str">
        <f ca="1">IFERROR(__xludf.DUMMYFUNCTION("""COMPUTED_VALUE"""),"90% &lt; 95%")</f>
        <v>90% &lt; 95%</v>
      </c>
      <c r="M38" s="213" t="str">
        <f ca="1">IFERROR(__xludf.DUMMYFUNCTION("""COMPUTED_VALUE"""),"85% &lt; 89%")</f>
        <v>85% &lt; 89%</v>
      </c>
      <c r="N38" s="213" t="str">
        <f ca="1">IFERROR(__xludf.DUMMYFUNCTION("""COMPUTED_VALUE"""),"80% &lt; 84%")</f>
        <v>80% &lt; 84%</v>
      </c>
      <c r="O38" s="213" t="str">
        <f ca="1">IFERROR(__xludf.DUMMYFUNCTION("""COMPUTED_VALUE"""),"&lt; = 80%")</f>
        <v>&lt; = 80%</v>
      </c>
      <c r="P38" s="214" t="str">
        <f ca="1">IFERROR(__xludf.DUMMYFUNCTION("""COMPUTED_VALUE"""),"This data may be available through projections, but if so, the quality of the data should be checked and noted.
In some surveys data is collected from children aged 12-23 months.  Please be sure to reference the age range that is the focus of the data.  O"&amp;"nly the first threshold has been tested and has evidence behind it.  The others have been arbitrarily selected and should not be considered accurate measures at this stage")</f>
        <v>This data may be available through projections, but if so, the quality of the data should be checked and noted.
In some surveys data is collected from children aged 12-23 months.  Please be sure to reference the age range that is the focus of the data.  Only the first threshold has been tested and has evidence behind it.  The others have been arbitrarily selected and should not be considered accurate measures at this stage</v>
      </c>
      <c r="Q38" s="215"/>
      <c r="R38" s="215"/>
      <c r="S38" s="215"/>
      <c r="T38" s="216"/>
      <c r="U38" s="216"/>
    </row>
    <row r="39" spans="1:21" ht="162.5" hidden="1">
      <c r="A39" s="202">
        <f ca="1">IFERROR(__xludf.DUMMYFUNCTION("""COMPUTED_VALUE"""),34)</f>
        <v>34</v>
      </c>
      <c r="B39" s="212" t="str">
        <f ca="1">IFERROR(__xludf.DUMMYFUNCTION("""COMPUTED_VALUE"""),"Health")</f>
        <v>Health</v>
      </c>
      <c r="C39" s="212" t="str">
        <f ca="1">IFERROR(__xludf.DUMMYFUNCTION("""COMPUTED_VALUE"""),"Communicable and Non Communicable Diseases")</f>
        <v>Communicable and Non Communicable Diseases</v>
      </c>
      <c r="D39" s="213" t="str">
        <f ca="1">IFERROR(__xludf.DUMMYFUNCTION("""COMPUTED_VALUE"""),"Humanitarian conditions")</f>
        <v>Humanitarian conditions</v>
      </c>
      <c r="E39" s="213" t="str">
        <f ca="1">IFERROR(__xludf.DUMMYFUNCTION("""COMPUTED_VALUE"""),"Physical and Mental Wellbeing")</f>
        <v>Physical and Mental Wellbeing</v>
      </c>
      <c r="F39" s="213" t="str">
        <f ca="1">IFERROR(__xludf.DUMMYFUNCTION("""COMPUTED_VALUE"""),"Case Fatality Ratio (CFR) for most common diseases")</f>
        <v>Case Fatality Ratio (CFR) for most common diseases</v>
      </c>
      <c r="G39" s="212"/>
      <c r="H39" s="212">
        <f ca="1">IFERROR(__xludf.DUMMYFUNCTION("""COMPUTED_VALUE"""),1)</f>
        <v>1</v>
      </c>
      <c r="I39" s="212"/>
      <c r="J39" s="212" t="str">
        <f ca="1">IFERROR(__xludf.DUMMYFUNCTION("""COMPUTED_VALUE"""),"Prospective HF based surveillance")</f>
        <v>Prospective HF based surveillance</v>
      </c>
      <c r="K39" s="213"/>
      <c r="L39" s="213"/>
      <c r="M39" s="213"/>
      <c r="N39" s="213"/>
      <c r="O39" s="213"/>
      <c r="P39" s="214" t="str">
        <f ca="1">IFERROR(__xludf.DUMMYFUNCTION("""COMPUTED_VALUE"""),"Mixture of disease severity and of quality of health care. Most likely will be biased upwards because only more severe cases normally go to clinic. This indicator is primarily a country-level measurement and cannot be easily aggregated for use at higher l"&amp;"evels.
The list of diseases is context specific.
Data collection can be problematic as health facility surveillance may have low sensitivity for conditions that do not commonly go to clinic. Access to health services is another factor")</f>
        <v>Mixture of disease severity and of quality of health care. Most likely will be biased upwards because only more severe cases normally go to clinic. This indicator is primarily a country-level measurement and cannot be easily aggregated for use at higher levels.
The list of diseases is context specific.
Data collection can be problematic as health facility surveillance may have low sensitivity for conditions that do not commonly go to clinic. Access to health services is another factor</v>
      </c>
      <c r="Q39" s="215"/>
      <c r="R39" s="215"/>
      <c r="S39" s="215"/>
      <c r="T39" s="216"/>
      <c r="U39" s="216"/>
    </row>
    <row r="40" spans="1:21" ht="112.5" hidden="1">
      <c r="A40" s="202">
        <f ca="1">IFERROR(__xludf.DUMMYFUNCTION("""COMPUTED_VALUE"""),35)</f>
        <v>35</v>
      </c>
      <c r="B40" s="212" t="str">
        <f ca="1">IFERROR(__xludf.DUMMYFUNCTION("""COMPUTED_VALUE"""),"Health")</f>
        <v>Health</v>
      </c>
      <c r="C40" s="212" t="str">
        <f ca="1">IFERROR(__xludf.DUMMYFUNCTION("""COMPUTED_VALUE"""),"Communicable and Non Communicable Diseases")</f>
        <v>Communicable and Non Communicable Diseases</v>
      </c>
      <c r="D40" s="213" t="str">
        <f ca="1">IFERROR(__xludf.DUMMYFUNCTION("""COMPUTED_VALUE"""),"Humanitarian conditions")</f>
        <v>Humanitarian conditions</v>
      </c>
      <c r="E40" s="213" t="str">
        <f ca="1">IFERROR(__xludf.DUMMYFUNCTION("""COMPUTED_VALUE"""),"Physical and Mental Wellbeing")</f>
        <v>Physical and Mental Wellbeing</v>
      </c>
      <c r="F40" s="213" t="str">
        <f ca="1">IFERROR(__xludf.DUMMYFUNCTION("""COMPUTED_VALUE"""),"Number of cases or incidence rates for selected diseases relevant to the local context (cholera, measles, acute meningitis, others)")</f>
        <v>Number of cases or incidence rates for selected diseases relevant to the local context (cholera, measles, acute meningitis, others)</v>
      </c>
      <c r="G40" s="212"/>
      <c r="H40" s="212">
        <f ca="1">IFERROR(__xludf.DUMMYFUNCTION("""COMPUTED_VALUE"""),1)</f>
        <v>1</v>
      </c>
      <c r="I40" s="212"/>
      <c r="J40" s="212" t="str">
        <f ca="1">IFERROR(__xludf.DUMMYFUNCTION("""COMPUTED_VALUE"""),"EWARS, IRA, RHA prospective HF based surveillance")</f>
        <v>EWARS, IRA, RHA prospective HF based surveillance</v>
      </c>
      <c r="K40" s="213"/>
      <c r="L40" s="213"/>
      <c r="M40" s="213"/>
      <c r="N40" s="213"/>
      <c r="O40" s="213"/>
      <c r="P40" s="214" t="str">
        <f ca="1">IFERROR(__xludf.DUMMYFUNCTION("""COMPUTED_VALUE"""),"This indicator is primarily a country-level measurement and cannot be easily aggregated for use at higher levels.
The list of diseases is context specific.
Data collection can be problematic as health facility surveillance may have low sensitivity for con"&amp;"ditions that do not commonly go to clinic. Access to health services is another factor")</f>
        <v>This indicator is primarily a country-level measurement and cannot be easily aggregated for use at higher levels.
The list of diseases is context specific.
Data collection can be problematic as health facility surveillance may have low sensitivity for conditions that do not commonly go to clinic. Access to health services is another factor</v>
      </c>
      <c r="Q40" s="215"/>
      <c r="R40" s="215"/>
      <c r="S40" s="215"/>
      <c r="T40" s="216"/>
      <c r="U40" s="216"/>
    </row>
    <row r="41" spans="1:21" ht="175" hidden="1">
      <c r="A41" s="202">
        <f ca="1">IFERROR(__xludf.DUMMYFUNCTION("""COMPUTED_VALUE"""),36)</f>
        <v>36</v>
      </c>
      <c r="B41" s="212" t="str">
        <f ca="1">IFERROR(__xludf.DUMMYFUNCTION("""COMPUTED_VALUE"""),"Health")</f>
        <v>Health</v>
      </c>
      <c r="C41" s="212" t="str">
        <f ca="1">IFERROR(__xludf.DUMMYFUNCTION("""COMPUTED_VALUE"""),"Communicable and Non Communicable Diseases")</f>
        <v>Communicable and Non Communicable Diseases</v>
      </c>
      <c r="D41" s="213" t="str">
        <f ca="1">IFERROR(__xludf.DUMMYFUNCTION("""COMPUTED_VALUE"""),"Humanitarian conditions")</f>
        <v>Humanitarian conditions</v>
      </c>
      <c r="E41" s="213" t="str">
        <f ca="1">IFERROR(__xludf.DUMMYFUNCTION("""COMPUTED_VALUE"""),"Physical and Mental Wellbeing")</f>
        <v>Physical and Mental Wellbeing</v>
      </c>
      <c r="F41" s="213" t="str">
        <f ca="1">IFERROR(__xludf.DUMMYFUNCTION("""COMPUTED_VALUE"""),"Percentage of children aged six months to 15 years who have received measles vaccination")</f>
        <v>Percentage of children aged six months to 15 years who have received measles vaccination</v>
      </c>
      <c r="G41" s="212"/>
      <c r="H41" s="212">
        <f ca="1">IFERROR(__xludf.DUMMYFUNCTION("""COMPUTED_VALUE"""),2)</f>
        <v>2</v>
      </c>
      <c r="I41" s="212"/>
      <c r="J41" s="212" t="str">
        <f ca="1">IFERROR(__xludf.DUMMYFUNCTION("""COMPUTED_VALUE"""),"VCE, HMIS")</f>
        <v>VCE, HMIS</v>
      </c>
      <c r="K41" s="213" t="str">
        <f ca="1">IFERROR(__xludf.DUMMYFUNCTION("""COMPUTED_VALUE"""),"&gt;95% in camps /urban areas
&gt;90% in scattered or rural areas")</f>
        <v>&gt;95% in camps /urban areas
&gt;90% in scattered or rural areas</v>
      </c>
      <c r="L41" s="213" t="str">
        <f ca="1">IFERROR(__xludf.DUMMYFUNCTION("""COMPUTED_VALUE"""),"&gt;95% in camps /urban areas
&gt;90% in scattered or rural areas")</f>
        <v>&gt;95% in camps /urban areas
&gt;90% in scattered or rural areas</v>
      </c>
      <c r="M41" s="213" t="str">
        <f ca="1">IFERROR(__xludf.DUMMYFUNCTION("""COMPUTED_VALUE"""),"90% &gt;= 95% urban and camps
85% &gt;= 90% in scattered or rural areas")</f>
        <v>90% &gt;= 95% urban and camps
85% &gt;= 90% in scattered or rural areas</v>
      </c>
      <c r="N41" s="213" t="str">
        <f ca="1">IFERROR(__xludf.DUMMYFUNCTION("""COMPUTED_VALUE"""),"85% &gt;= 89% urban and camps
80% &gt;= 84% in scattered or rural areas")</f>
        <v>85% &gt;= 89% urban and camps
80% &gt;= 84% in scattered or rural areas</v>
      </c>
      <c r="O41" s="213" t="str">
        <f ca="1">IFERROR(__xludf.DUMMYFUNCTION("""COMPUTED_VALUE"""),"&lt; 85% urban and camps
&lt; 80% in scattered or rural areas")</f>
        <v>&lt; 85% urban and camps
&lt; 80% in scattered or rural areas</v>
      </c>
      <c r="P41" s="214" t="str">
        <f ca="1">IFERROR(__xludf.DUMMYFUNCTION("""COMPUTED_VALUE"""),"This indicator is used to estimate vaccine coverage of the total EPI strategy. To avoid overestimation, measles vaccination coverage is used as proxy since it is usually lower than DPT3 coverage. Both indicators should be calculated on a yearly basis and "&amp;"can provide good indication of health system performance.
It is necessary to assess the quality of the available data.   Only the first threshold has been tested and has evidence behind it.  The others have been arbitrarily selected and should not be cons"&amp;"idered accurate measures at this stage")</f>
        <v>This indicator is used to estimate vaccine coverage of the total EPI strategy. To avoid overestimation, measles vaccination coverage is used as proxy since it is usually lower than DPT3 coverage. Both indicators should be calculated on a yearly basis and can provide good indication of health system performance.
It is necessary to assess the quality of the available data.   Only the first threshold has been tested and has evidence behind it.  The others have been arbitrarily selected and should not be considered accurate measures at this stage</v>
      </c>
      <c r="Q41" s="215"/>
      <c r="R41" s="215"/>
      <c r="S41" s="215"/>
      <c r="T41" s="216"/>
      <c r="U41" s="216"/>
    </row>
    <row r="42" spans="1:21" ht="100" hidden="1">
      <c r="A42" s="202">
        <f ca="1">IFERROR(__xludf.DUMMYFUNCTION("""COMPUTED_VALUE"""),37)</f>
        <v>37</v>
      </c>
      <c r="B42" s="212" t="str">
        <f ca="1">IFERROR(__xludf.DUMMYFUNCTION("""COMPUTED_VALUE"""),"Health")</f>
        <v>Health</v>
      </c>
      <c r="C42" s="212" t="str">
        <f ca="1">IFERROR(__xludf.DUMMYFUNCTION("""COMPUTED_VALUE"""),"Gender Based Violence")</f>
        <v>Gender Based Violence</v>
      </c>
      <c r="D42" s="213" t="str">
        <f ca="1">IFERROR(__xludf.DUMMYFUNCTION("""COMPUTED_VALUE"""),"Impact")</f>
        <v>Impact</v>
      </c>
      <c r="E42" s="213" t="str">
        <f ca="1">IFERROR(__xludf.DUMMYFUNCTION("""COMPUTED_VALUE"""),"Impact on Services")</f>
        <v>Impact on Services</v>
      </c>
      <c r="F42" s="213" t="str">
        <f ca="1">IFERROR(__xludf.DUMMYFUNCTION("""COMPUTED_VALUE"""),"% of health facilities providing Emergency contraception, Post exposure Prophilaxis and Sexual Transmitted Infection treatment (disaggregate by which of the three services are being provided)")</f>
        <v>% of health facilities providing Emergency contraception, Post exposure Prophilaxis and Sexual Transmitted Infection treatment (disaggregate by which of the three services are being provided)</v>
      </c>
      <c r="G42" s="212"/>
      <c r="H42" s="212">
        <f ca="1">IFERROR(__xludf.DUMMYFUNCTION("""COMPUTED_VALUE"""),0)</f>
        <v>0</v>
      </c>
      <c r="I42" s="212"/>
      <c r="J42" s="212" t="str">
        <f ca="1">IFERROR(__xludf.DUMMYFUNCTION("""COMPUTED_VALUE"""),"HeRAMS or similar service")</f>
        <v>HeRAMS or similar service</v>
      </c>
      <c r="K42" s="213" t="str">
        <f ca="1">IFERROR(__xludf.DUMMYFUNCTION("""COMPUTED_VALUE"""),"90%+")</f>
        <v>90%+</v>
      </c>
      <c r="L42" s="213" t="str">
        <f ca="1">IFERROR(__xludf.DUMMYFUNCTION("""COMPUTED_VALUE"""),"90%+")</f>
        <v>90%+</v>
      </c>
      <c r="M42" s="213" t="str">
        <f ca="1">IFERROR(__xludf.DUMMYFUNCTION("""COMPUTED_VALUE"""),"80% &gt;=  89%")</f>
        <v>80% &gt;=  89%</v>
      </c>
      <c r="N42" s="213" t="str">
        <f ca="1">IFERROR(__xludf.DUMMYFUNCTION("""COMPUTED_VALUE"""),"70 &gt;= 79%")</f>
        <v>70 &gt;= 79%</v>
      </c>
      <c r="O42" s="213" t="str">
        <f ca="1">IFERROR(__xludf.DUMMYFUNCTION("""COMPUTED_VALUE"""),"&lt; 70%")</f>
        <v>&lt; 70%</v>
      </c>
      <c r="P42" s="214" t="str">
        <f ca="1">IFERROR(__xludf.DUMMYFUNCTION("""COMPUTED_VALUE"""),"Comprehensive post-rape care -for this indicator- is defined as offering EC, PEP and STI treatment.  Only the first threshold has been tested and has evidence behind it.  The others have been arbitrarily selected and should not be considered accurate meas"&amp;"ures at this stage")</f>
        <v>Comprehensive post-rape care -for this indicator- is defined as offering EC, PEP and STI treatment.  Only the first threshold has been tested and has evidence behind it.  The others have been arbitrarily selected and should not be considered accurate measures at this stage</v>
      </c>
      <c r="Q42" s="215"/>
      <c r="R42" s="215"/>
      <c r="S42" s="215"/>
      <c r="T42" s="216"/>
      <c r="U42" s="216"/>
    </row>
    <row r="43" spans="1:21" ht="87.5" hidden="1">
      <c r="A43" s="202">
        <f ca="1">IFERROR(__xludf.DUMMYFUNCTION("""COMPUTED_VALUE"""),38)</f>
        <v>38</v>
      </c>
      <c r="B43" s="212" t="str">
        <f ca="1">IFERROR(__xludf.DUMMYFUNCTION("""COMPUTED_VALUE"""),"Health")</f>
        <v>Health</v>
      </c>
      <c r="C43" s="212" t="str">
        <f ca="1">IFERROR(__xludf.DUMMYFUNCTION("""COMPUTED_VALUE"""),"General Clinical Services")</f>
        <v>General Clinical Services</v>
      </c>
      <c r="D43" s="213" t="str">
        <f ca="1">IFERROR(__xludf.DUMMYFUNCTION("""COMPUTED_VALUE"""),"Humanitarian conditions")</f>
        <v>Humanitarian conditions</v>
      </c>
      <c r="E43" s="213" t="str">
        <f ca="1">IFERROR(__xludf.DUMMYFUNCTION("""COMPUTED_VALUE"""),"Living Standards")</f>
        <v>Living Standards</v>
      </c>
      <c r="F43" s="213" t="str">
        <f ca="1">IFERROR(__xludf.DUMMYFUNCTION("""COMPUTED_VALUE"""),"Number of inpatient beds per 10,000")</f>
        <v>Number of inpatient beds per 10,000</v>
      </c>
      <c r="G43" s="212"/>
      <c r="H43" s="212">
        <f ca="1">IFERROR(__xludf.DUMMYFUNCTION("""COMPUTED_VALUE"""),0)</f>
        <v>0</v>
      </c>
      <c r="I43" s="212"/>
      <c r="J43" s="212" t="str">
        <f ca="1">IFERROR(__xludf.DUMMYFUNCTION("""COMPUTED_VALUE"""),"HeRAMS, RHA")</f>
        <v>HeRAMS, RHA</v>
      </c>
      <c r="K43" s="213" t="str">
        <f ca="1">IFERROR(__xludf.DUMMYFUNCTION("""COMPUTED_VALUE"""),"&gt;= 18")</f>
        <v>&gt;= 18</v>
      </c>
      <c r="L43" s="213" t="str">
        <f ca="1">IFERROR(__xludf.DUMMYFUNCTION("""COMPUTED_VALUE"""),"&gt;= 18")</f>
        <v>&gt;= 18</v>
      </c>
      <c r="M43" s="213" t="str">
        <f ca="1">IFERROR(__xludf.DUMMYFUNCTION("""COMPUTED_VALUE"""),"12 &lt; =17")</f>
        <v>12 &lt; =17</v>
      </c>
      <c r="N43" s="213" t="str">
        <f ca="1">IFERROR(__xludf.DUMMYFUNCTION("""COMPUTED_VALUE"""),"6 &lt; = 11")</f>
        <v>6 &lt; = 11</v>
      </c>
      <c r="O43" s="213" t="str">
        <f ca="1">IFERROR(__xludf.DUMMYFUNCTION("""COMPUTED_VALUE"""),"&lt;= 5")</f>
        <v>&lt;= 5</v>
      </c>
      <c r="P43" s="214" t="str">
        <f ca="1">IFERROR(__xludf.DUMMYFUNCTION("""COMPUTED_VALUE"""),"Indicator for the availability of hospital beds across crisis areas and proxy indicator of equity in the allocation of resources.  Only the first threshold has been tested and has evidence behind it.  The others have been arbitrarily selected and should n"&amp;"ot be considered accurate measures at this stage")</f>
        <v>Indicator for the availability of hospital beds across crisis areas and proxy indicator of equity in the allocation of resources.  Only the first threshold has been tested and has evidence behind it.  The others have been arbitrarily selected and should not be considered accurate measures at this stage</v>
      </c>
      <c r="Q43" s="215"/>
      <c r="R43" s="215"/>
      <c r="S43" s="215"/>
      <c r="T43" s="216"/>
      <c r="U43" s="216"/>
    </row>
    <row r="44" spans="1:21" ht="50" hidden="1">
      <c r="A44" s="202">
        <f ca="1">IFERROR(__xludf.DUMMYFUNCTION("""COMPUTED_VALUE"""),39)</f>
        <v>39</v>
      </c>
      <c r="B44" s="212" t="str">
        <f ca="1">IFERROR(__xludf.DUMMYFUNCTION("""COMPUTED_VALUE"""),"Health")</f>
        <v>Health</v>
      </c>
      <c r="C44" s="212" t="str">
        <f ca="1">IFERROR(__xludf.DUMMYFUNCTION("""COMPUTED_VALUE"""),"General Clinical Services")</f>
        <v>General Clinical Services</v>
      </c>
      <c r="D44" s="213" t="str">
        <f ca="1">IFERROR(__xludf.DUMMYFUNCTION("""COMPUTED_VALUE"""),"Humanitarian conditions")</f>
        <v>Humanitarian conditions</v>
      </c>
      <c r="E44" s="213" t="str">
        <f ca="1">IFERROR(__xludf.DUMMYFUNCTION("""COMPUTED_VALUE"""),"Living Standards")</f>
        <v>Living Standards</v>
      </c>
      <c r="F44" s="213" t="str">
        <f ca="1">IFERROR(__xludf.DUMMYFUNCTION("""COMPUTED_VALUE"""),"Percentage of population that can access primary healthcare within one hour’s walk from dwellings")</f>
        <v>Percentage of population that can access primary healthcare within one hour’s walk from dwellings</v>
      </c>
      <c r="G44" s="212"/>
      <c r="H44" s="212">
        <f ca="1">IFERROR(__xludf.DUMMYFUNCTION("""COMPUTED_VALUE"""),1)</f>
        <v>1</v>
      </c>
      <c r="I44" s="212"/>
      <c r="J44" s="212" t="str">
        <f ca="1">IFERROR(__xludf.DUMMYFUNCTION("""COMPUTED_VALUE"""),"Survey")</f>
        <v>Survey</v>
      </c>
      <c r="K44" s="213" t="str">
        <f ca="1">IFERROR(__xludf.DUMMYFUNCTION("""COMPUTED_VALUE"""),"&gt;= 80%")</f>
        <v>&gt;= 80%</v>
      </c>
      <c r="L44" s="213" t="str">
        <f ca="1">IFERROR(__xludf.DUMMYFUNCTION("""COMPUTED_VALUE"""),"&gt;= 80%")</f>
        <v>&gt;= 80%</v>
      </c>
      <c r="M44" s="213" t="str">
        <f ca="1">IFERROR(__xludf.DUMMYFUNCTION("""COMPUTED_VALUE"""),"70% &lt; 79%")</f>
        <v>70% &lt; 79%</v>
      </c>
      <c r="N44" s="213" t="str">
        <f ca="1">IFERROR(__xludf.DUMMYFUNCTION("""COMPUTED_VALUE"""),"60% &lt; 69%")</f>
        <v>60% &lt; 69%</v>
      </c>
      <c r="O44" s="213" t="str">
        <f ca="1">IFERROR(__xludf.DUMMYFUNCTION("""COMPUTED_VALUE"""),"&lt; 60%")</f>
        <v>&lt; 60%</v>
      </c>
      <c r="P44" s="214" t="str">
        <f ca="1">IFERROR(__xludf.DUMMYFUNCTION("""COMPUTED_VALUE"""),"Only the first threshold has been tested and has evidence behind it.  The others have been arbitrarily selected and should not be considered accurate measures at this stage")</f>
        <v>Only the first threshold has been tested and has evidence behind it.  The others have been arbitrarily selected and should not be considered accurate measures at this stage</v>
      </c>
      <c r="Q44" s="215"/>
      <c r="R44" s="215"/>
      <c r="S44" s="215"/>
      <c r="T44" s="216"/>
      <c r="U44" s="216"/>
    </row>
    <row r="45" spans="1:21" ht="100" hidden="1">
      <c r="A45" s="202">
        <f ca="1">IFERROR(__xludf.DUMMYFUNCTION("""COMPUTED_VALUE"""),40)</f>
        <v>40</v>
      </c>
      <c r="B45" s="212" t="str">
        <f ca="1">IFERROR(__xludf.DUMMYFUNCTION("""COMPUTED_VALUE"""),"Health")</f>
        <v>Health</v>
      </c>
      <c r="C45" s="213" t="str">
        <f ca="1">IFERROR(__xludf.DUMMYFUNCTION("""COMPUTED_VALUE"""),"General Clinical Services")</f>
        <v>General Clinical Services</v>
      </c>
      <c r="D45" s="213" t="str">
        <f ca="1">IFERROR(__xludf.DUMMYFUNCTION("""COMPUTED_VALUE"""),"Impact")</f>
        <v>Impact</v>
      </c>
      <c r="E45" s="213" t="str">
        <f ca="1">IFERROR(__xludf.DUMMYFUNCTION("""COMPUTED_VALUE"""),"Impact on Services")</f>
        <v>Impact on Services</v>
      </c>
      <c r="F45" s="213" t="str">
        <f ca="1">IFERROR(__xludf.DUMMYFUNCTION("""COMPUTED_VALUE"""),"Number of days essential medicines are not available in a one month period")</f>
        <v>Number of days essential medicines are not available in a one month period</v>
      </c>
      <c r="G45" s="212"/>
      <c r="H45" s="212">
        <f ca="1">IFERROR(__xludf.DUMMYFUNCTION("""COMPUTED_VALUE"""),1)</f>
        <v>1</v>
      </c>
      <c r="I45" s="212"/>
      <c r="J45" s="212" t="str">
        <f ca="1">IFERROR(__xludf.DUMMYFUNCTION("""COMPUTED_VALUE"""),"IRA, RHA, Surveys, Broader survey of health facilities")</f>
        <v>IRA, RHA, Surveys, Broader survey of health facilities</v>
      </c>
      <c r="K45" s="213"/>
      <c r="L45" s="213"/>
      <c r="M45" s="213"/>
      <c r="N45" s="213"/>
      <c r="O45" s="213"/>
      <c r="P45" s="214" t="str">
        <f ca="1">IFERROR(__xludf.DUMMYFUNCTION("""COMPUTED_VALUE"""),"SPHERE standard. Essential medicines include drugs, vaccines and blood products. Should be based on the national essential medicines list. The indicator will need a list of 'essential medicines' for each context. ANY of those being unavailable for a day c"&amp;"ounts as 1 day. Expired medicines should not be counted")</f>
        <v>SPHERE standard. Essential medicines include drugs, vaccines and blood products. Should be based on the national essential medicines list. The indicator will need a list of 'essential medicines' for each context. ANY of those being unavailable for a day counts as 1 day. Expired medicines should not be counted</v>
      </c>
      <c r="Q45" s="215"/>
      <c r="R45" s="215"/>
      <c r="S45" s="215"/>
      <c r="T45" s="216"/>
      <c r="U45" s="216"/>
    </row>
    <row r="46" spans="1:21" ht="212.5" hidden="1">
      <c r="A46" s="202">
        <f ca="1">IFERROR(__xludf.DUMMYFUNCTION("""COMPUTED_VALUE"""),41)</f>
        <v>41</v>
      </c>
      <c r="B46" s="212" t="str">
        <f ca="1">IFERROR(__xludf.DUMMYFUNCTION("""COMPUTED_VALUE"""),"Health")</f>
        <v>Health</v>
      </c>
      <c r="C46" s="212" t="str">
        <f ca="1">IFERROR(__xludf.DUMMYFUNCTION("""COMPUTED_VALUE"""),"General Health")</f>
        <v>General Health</v>
      </c>
      <c r="D46" s="213" t="str">
        <f ca="1">IFERROR(__xludf.DUMMYFUNCTION("""COMPUTED_VALUE"""),"Impact")</f>
        <v>Impact</v>
      </c>
      <c r="E46" s="213" t="str">
        <f ca="1">IFERROR(__xludf.DUMMYFUNCTION("""COMPUTED_VALUE"""),"Impact on Services")</f>
        <v>Impact on Services</v>
      </c>
      <c r="F46" s="213" t="str">
        <f ca="1">IFERROR(__xludf.DUMMYFUNCTION("""COMPUTED_VALUE"""),"Average population per functioning health facility (HF), by type of HF")</f>
        <v>Average population per functioning health facility (HF), by type of HF</v>
      </c>
      <c r="G46" s="212"/>
      <c r="H46" s="212">
        <f ca="1">IFERROR(__xludf.DUMMYFUNCTION("""COMPUTED_VALUE"""),0)</f>
        <v>0</v>
      </c>
      <c r="I46" s="212"/>
      <c r="J46" s="212" t="str">
        <f ca="1">IFERROR(__xludf.DUMMYFUNCTION("""COMPUTED_VALUE"""),"HeRAMS or similar service
EPI microplanning data from vaccine or NID campaign")</f>
        <v>HeRAMS or similar service
EPI microplanning data from vaccine or NID campaign</v>
      </c>
      <c r="K46" s="213"/>
      <c r="L46" s="213"/>
      <c r="M46" s="213"/>
      <c r="N46" s="213"/>
      <c r="O46" s="213"/>
      <c r="P46" s="214" t="str">
        <f ca="1">IFERROR(__xludf.DUMMYFUNCTION("""COMPUTED_VALUE"""),"This is a proxy indicator of geographical accessibility and of equity in availability of health facilities across different administrative units within the crisis areas
Please note, this will not adequately measure healthcare coverage in all settings and "&amp;"should be used in conjunction with other indicators.
If an existing current population dataset is available, then HERAMS is preferable for broad statements like national or sub-national (but not community) coverage. When planning at LOCAL levels then othe"&amp;"r methods should be used.
It is important to assess the quality of the data available and make a note of said quality where the indicator is reported.")</f>
        <v>This is a proxy indicator of geographical accessibility and of equity in availability of health facilities across different administrative units within the crisis areas
Please note, this will not adequately measure healthcare coverage in all settings and should be used in conjunction with other indicators.
If an existing current population dataset is available, then HERAMS is preferable for broad statements like national or sub-national (but not community) coverage. When planning at LOCAL levels then other methods should be used.
It is important to assess the quality of the data available and make a note of said quality where the indicator is reported.</v>
      </c>
      <c r="Q46" s="215"/>
      <c r="R46" s="215"/>
      <c r="S46" s="215"/>
      <c r="T46" s="216"/>
      <c r="U46" s="216"/>
    </row>
    <row r="47" spans="1:21" ht="150" hidden="1">
      <c r="A47" s="202">
        <f ca="1">IFERROR(__xludf.DUMMYFUNCTION("""COMPUTED_VALUE"""),42)</f>
        <v>42</v>
      </c>
      <c r="B47" s="212" t="str">
        <f ca="1">IFERROR(__xludf.DUMMYFUNCTION("""COMPUTED_VALUE"""),"Health")</f>
        <v>Health</v>
      </c>
      <c r="C47" s="212" t="str">
        <f ca="1">IFERROR(__xludf.DUMMYFUNCTION("""COMPUTED_VALUE"""),"Sexual Reproductive Health")</f>
        <v>Sexual Reproductive Health</v>
      </c>
      <c r="D47" s="213" t="str">
        <f ca="1">IFERROR(__xludf.DUMMYFUNCTION("""COMPUTED_VALUE"""),"Humanitarian conditions")</f>
        <v>Humanitarian conditions</v>
      </c>
      <c r="E47" s="213" t="str">
        <f ca="1">IFERROR(__xludf.DUMMYFUNCTION("""COMPUTED_VALUE"""),"Living Standards")</f>
        <v>Living Standards</v>
      </c>
      <c r="F47" s="213" t="str">
        <f ca="1">IFERROR(__xludf.DUMMYFUNCTION("""COMPUTED_VALUE"""),"Number of HF with Basic Emergency Obstetric Care/ 500,000 population, by administrative unit")</f>
        <v>Number of HF with Basic Emergency Obstetric Care/ 500,000 population, by administrative unit</v>
      </c>
      <c r="G47" s="212"/>
      <c r="H47" s="212"/>
      <c r="I47" s="212"/>
      <c r="J47" s="212" t="str">
        <f ca="1">IFERROR(__xludf.DUMMYFUNCTION("""COMPUTED_VALUE"""),"HeRAMS / similar service")</f>
        <v>HeRAMS / similar service</v>
      </c>
      <c r="K47" s="213" t="str">
        <f ca="1">IFERROR(__xludf.DUMMYFUNCTION("""COMPUTED_VALUE"""),"4+")</f>
        <v>4+</v>
      </c>
      <c r="L47" s="213" t="str">
        <f ca="1">IFERROR(__xludf.DUMMYFUNCTION("""COMPUTED_VALUE"""),"4+")</f>
        <v>4+</v>
      </c>
      <c r="M47" s="213">
        <f ca="1">IFERROR(__xludf.DUMMYFUNCTION("""COMPUTED_VALUE"""),3)</f>
        <v>3</v>
      </c>
      <c r="N47" s="213">
        <f ca="1">IFERROR(__xludf.DUMMYFUNCTION("""COMPUTED_VALUE"""),2)</f>
        <v>2</v>
      </c>
      <c r="O47" s="213" t="str">
        <f ca="1">IFERROR(__xludf.DUMMYFUNCTION("""COMPUTED_VALUE"""),"&lt;= 1")</f>
        <v>&lt;= 1</v>
      </c>
      <c r="P47" s="214" t="str">
        <f ca="1">IFERROR(__xludf.DUMMYFUNCTION("""COMPUTED_VALUE"""),"Proxy indicators for the physical availability and geographical accessibility of emergency obstetric services and their distribution across districts in the affected areas. An unbalance between the availability of BEmOC and CEmOC (with too few BEmOC) is o"&amp;"ften observed.
Only the first threshold has been tested and has evidence behind it.  The others have been arbitrarily selected and should not be considered accurate measures at this stage")</f>
        <v>Proxy indicators for the physical availability and geographical accessibility of emergency obstetric services and their distribution across districts in the affected areas. An unbalance between the availability of BEmOC and CEmOC (with too few BEmOC) is often observed.
Only the first threshold has been tested and has evidence behind it.  The others have been arbitrarily selected and should not be considered accurate measures at this stage</v>
      </c>
      <c r="Q47" s="215"/>
      <c r="R47" s="215"/>
      <c r="S47" s="215"/>
      <c r="T47" s="216"/>
      <c r="U47" s="216"/>
    </row>
    <row r="48" spans="1:21" ht="50" hidden="1">
      <c r="A48" s="202">
        <f ca="1">IFERROR(__xludf.DUMMYFUNCTION("""COMPUTED_VALUE"""),43)</f>
        <v>43</v>
      </c>
      <c r="B48" s="212" t="str">
        <f ca="1">IFERROR(__xludf.DUMMYFUNCTION("""COMPUTED_VALUE"""),"Health")</f>
        <v>Health</v>
      </c>
      <c r="C48" s="212" t="str">
        <f ca="1">IFERROR(__xludf.DUMMYFUNCTION("""COMPUTED_VALUE"""),"Sexual Reproductive Health")</f>
        <v>Sexual Reproductive Health</v>
      </c>
      <c r="D48" s="213" t="str">
        <f ca="1">IFERROR(__xludf.DUMMYFUNCTION("""COMPUTED_VALUE"""),"Humanitarian conditions")</f>
        <v>Humanitarian conditions</v>
      </c>
      <c r="E48" s="213" t="str">
        <f ca="1">IFERROR(__xludf.DUMMYFUNCTION("""COMPUTED_VALUE"""),"Living Standards")</f>
        <v>Living Standards</v>
      </c>
      <c r="F48" s="213" t="str">
        <f ca="1">IFERROR(__xludf.DUMMYFUNCTION("""COMPUTED_VALUE"""),"Number of skilled birth attendant personnel (doctors, nurses, certified midwives) per 10,000 people")</f>
        <v>Number of skilled birth attendant personnel (doctors, nurses, certified midwives) per 10,000 people</v>
      </c>
      <c r="G48" s="212"/>
      <c r="H48" s="212">
        <f ca="1">IFERROR(__xludf.DUMMYFUNCTION("""COMPUTED_VALUE"""),1)</f>
        <v>1</v>
      </c>
      <c r="I48" s="212"/>
      <c r="J48" s="212" t="str">
        <f ca="1">IFERROR(__xludf.DUMMYFUNCTION("""COMPUTED_VALUE"""),"HeRAMS")</f>
        <v>HeRAMS</v>
      </c>
      <c r="K48" s="213" t="str">
        <f ca="1">IFERROR(__xludf.DUMMYFUNCTION("""COMPUTED_VALUE"""),"&gt;= 23")</f>
        <v>&gt;= 23</v>
      </c>
      <c r="L48" s="213" t="str">
        <f ca="1">IFERROR(__xludf.DUMMYFUNCTION("""COMPUTED_VALUE"""),"&gt;= 23")</f>
        <v>&gt;= 23</v>
      </c>
      <c r="M48" s="213" t="str">
        <f ca="1">IFERROR(__xludf.DUMMYFUNCTION("""COMPUTED_VALUE"""),"&gt;= 19")</f>
        <v>&gt;= 19</v>
      </c>
      <c r="N48" s="213" t="str">
        <f ca="1">IFERROR(__xludf.DUMMYFUNCTION("""COMPUTED_VALUE"""),"&gt;= 15")</f>
        <v>&gt;= 15</v>
      </c>
      <c r="O48" s="213" t="str">
        <f ca="1">IFERROR(__xludf.DUMMYFUNCTION("""COMPUTED_VALUE"""),"&gt;= 11")</f>
        <v>&gt;= 11</v>
      </c>
      <c r="P48" s="214" t="str">
        <f ca="1">IFERROR(__xludf.DUMMYFUNCTION("""COMPUTED_VALUE"""),"Only the first threshold has been tested and has evidence behind it.  The others have been arbitrarily selected and should not be considered accurate measures at this stage")</f>
        <v>Only the first threshold has been tested and has evidence behind it.  The others have been arbitrarily selected and should not be considered accurate measures at this stage</v>
      </c>
      <c r="Q48" s="215"/>
      <c r="R48" s="215"/>
      <c r="S48" s="215"/>
      <c r="T48" s="216"/>
      <c r="U48" s="216"/>
    </row>
    <row r="49" spans="1:21" ht="62.5" hidden="1">
      <c r="A49" s="202">
        <f ca="1">IFERROR(__xludf.DUMMYFUNCTION("""COMPUTED_VALUE"""),44)</f>
        <v>44</v>
      </c>
      <c r="B49" s="212" t="str">
        <f ca="1">IFERROR(__xludf.DUMMYFUNCTION("""COMPUTED_VALUE"""),"Health")</f>
        <v>Health</v>
      </c>
      <c r="C49" s="212" t="str">
        <f ca="1">IFERROR(__xludf.DUMMYFUNCTION("""COMPUTED_VALUE"""),"SSA")</f>
        <v>SSA</v>
      </c>
      <c r="D49" s="213" t="str">
        <f ca="1">IFERROR(__xludf.DUMMYFUNCTION("""COMPUTED_VALUE"""),"Impact")</f>
        <v>Impact</v>
      </c>
      <c r="E49" s="213" t="str">
        <f ca="1">IFERROR(__xludf.DUMMYFUNCTION("""COMPUTED_VALUE"""),"Impact on Services")</f>
        <v>Impact on Services</v>
      </c>
      <c r="F49" s="213" t="str">
        <f ca="1">IFERROR(__xludf.DUMMYFUNCTION("""COMPUTED_VALUE"""),"Percentage of identified SSA incidents verified")</f>
        <v>Percentage of identified SSA incidents verified</v>
      </c>
      <c r="G49" s="212"/>
      <c r="H49" s="212">
        <f ca="1">IFERROR(__xludf.DUMMYFUNCTION("""COMPUTED_VALUE"""),1)</f>
        <v>1</v>
      </c>
      <c r="I49" s="212"/>
      <c r="J49" s="212" t="str">
        <f ca="1">IFERROR(__xludf.DUMMYFUNCTION("""COMPUTED_VALUE""")," SSA")</f>
        <v> SSA</v>
      </c>
      <c r="K49" s="213">
        <f ca="1">IFERROR(__xludf.DUMMYFUNCTION("""COMPUTED_VALUE"""),0)</f>
        <v>0</v>
      </c>
      <c r="L49" s="213">
        <f ca="1">IFERROR(__xludf.DUMMYFUNCTION("""COMPUTED_VALUE"""),0)</f>
        <v>0</v>
      </c>
      <c r="M49" s="213">
        <f ca="1">IFERROR(__xludf.DUMMYFUNCTION("""COMPUTED_VALUE"""),1)</f>
        <v>1</v>
      </c>
      <c r="N49" s="213">
        <f ca="1">IFERROR(__xludf.DUMMYFUNCTION("""COMPUTED_VALUE"""),1)</f>
        <v>1</v>
      </c>
      <c r="O49" s="213" t="str">
        <f ca="1">IFERROR(__xludf.DUMMYFUNCTION("""COMPUTED_VALUE"""),"1+")</f>
        <v>1+</v>
      </c>
      <c r="P49" s="214" t="str">
        <f ca="1">IFERROR(__xludf.DUMMYFUNCTION("""COMPUTED_VALUE"""),"Indicator adjusted to: total number of confirmed incidents over a set period of time.  As reporting period and area of interest will change, I doubt it makes sense to provide a fixed cut off.")</f>
        <v>Indicator adjusted to: total number of confirmed incidents over a set period of time.  As reporting period and area of interest will change, I doubt it makes sense to provide a fixed cut off.</v>
      </c>
      <c r="Q49" s="215"/>
      <c r="R49" s="215"/>
      <c r="S49" s="215"/>
      <c r="T49" s="216"/>
      <c r="U49" s="216"/>
    </row>
    <row r="50" spans="1:21" ht="37.5" hidden="1">
      <c r="A50" s="202">
        <f ca="1">IFERROR(__xludf.DUMMYFUNCTION("""COMPUTED_VALUE"""),45)</f>
        <v>45</v>
      </c>
      <c r="B50" s="225" t="str">
        <f ca="1">IFERROR(__xludf.DUMMYFUNCTION("""COMPUTED_VALUE"""),"Nutrition")</f>
        <v>Nutrition</v>
      </c>
      <c r="C50" s="225" t="str">
        <f ca="1">IFERROR(__xludf.DUMMYFUNCTION("""COMPUTED_VALUE"""),"Care and feeding practices")</f>
        <v>Care and feeding practices</v>
      </c>
      <c r="D50" s="226" t="str">
        <f ca="1">IFERROR(__xludf.DUMMYFUNCTION("""COMPUTED_VALUE"""),"Humanitarian conditions")</f>
        <v>Humanitarian conditions</v>
      </c>
      <c r="E50" s="226" t="str">
        <f ca="1">IFERROR(__xludf.DUMMYFUNCTION("""COMPUTED_VALUE"""),"Living Standards")</f>
        <v>Living Standards</v>
      </c>
      <c r="F50" s="226" t="str">
        <f ca="1">IFERROR(__xludf.DUMMYFUNCTION("""COMPUTED_VALUE"""),"Exclusive breastfeeding for infants 0-5 months")</f>
        <v>Exclusive breastfeeding for infants 0-5 months</v>
      </c>
      <c r="G50" s="225"/>
      <c r="H50" s="225">
        <f ca="1">IFERROR(__xludf.DUMMYFUNCTION("""COMPUTED_VALUE"""),2)</f>
        <v>2</v>
      </c>
      <c r="I50" s="225" t="str">
        <f ca="1">IFERROR(__xludf.DUMMYFUNCTION("""COMPUTED_VALUE"""),"HH survey ")</f>
        <v xml:space="preserve">HH survey </v>
      </c>
      <c r="J50" s="225" t="str">
        <f ca="1">IFERROR(__xludf.DUMMYFUNCTION("""COMPUTED_VALUE"""),"SMART surveys")</f>
        <v>SMART surveys</v>
      </c>
      <c r="K50" s="226" t="str">
        <f ca="1">IFERROR(__xludf.DUMMYFUNCTION("""COMPUTED_VALUE"""),"≥70%")</f>
        <v>≥70%</v>
      </c>
      <c r="L50" s="226" t="str">
        <f ca="1">IFERROR(__xludf.DUMMYFUNCTION("""COMPUTED_VALUE"""),"50-70%")</f>
        <v>50-70%</v>
      </c>
      <c r="M50" s="226" t="str">
        <f ca="1">IFERROR(__xludf.DUMMYFUNCTION("""COMPUTED_VALUE"""),"30 -50%")</f>
        <v>30 -50%</v>
      </c>
      <c r="N50" s="226" t="str">
        <f ca="1">IFERROR(__xludf.DUMMYFUNCTION("""COMPUTED_VALUE"""),"11-30%")</f>
        <v>11-30%</v>
      </c>
      <c r="O50" s="226" t="str">
        <f ca="1">IFERROR(__xludf.DUMMYFUNCTION("""COMPUTED_VALUE"""),"&lt;11%")</f>
        <v>&lt;11%</v>
      </c>
      <c r="P50" s="227"/>
      <c r="Q50" s="215"/>
      <c r="R50" s="215"/>
      <c r="S50" s="215"/>
      <c r="T50" s="216"/>
      <c r="U50" s="216"/>
    </row>
    <row r="51" spans="1:21" ht="100" hidden="1">
      <c r="A51" s="202">
        <f ca="1">IFERROR(__xludf.DUMMYFUNCTION("""COMPUTED_VALUE"""),46)</f>
        <v>46</v>
      </c>
      <c r="B51" s="225" t="str">
        <f ca="1">IFERROR(__xludf.DUMMYFUNCTION("""COMPUTED_VALUE"""),"Nutrition")</f>
        <v>Nutrition</v>
      </c>
      <c r="C51" s="225" t="str">
        <f ca="1">IFERROR(__xludf.DUMMYFUNCTION("""COMPUTED_VALUE"""),"Care and feeding practices")</f>
        <v>Care and feeding practices</v>
      </c>
      <c r="D51" s="226" t="str">
        <f ca="1">IFERROR(__xludf.DUMMYFUNCTION("""COMPUTED_VALUE"""),"Humanitarian conditions")</f>
        <v>Humanitarian conditions</v>
      </c>
      <c r="E51" s="226" t="str">
        <f ca="1">IFERROR(__xludf.DUMMYFUNCTION("""COMPUTED_VALUE"""),"Living Standards")</f>
        <v>Living Standards</v>
      </c>
      <c r="F51" s="226" t="str">
        <f ca="1">IFERROR(__xludf.DUMMYFUNCTION("""COMPUTED_VALUE"""),"Infants 0-5 months that are not breastfed who have access to Breast Milk Substitutes (BMS) supplies and support in line with the Code and the IFE OG standards and recommendations")</f>
        <v>Infants 0-5 months that are not breastfed who have access to Breast Milk Substitutes (BMS) supplies and support in line with the Code and the IFE OG standards and recommendations</v>
      </c>
      <c r="G51" s="225"/>
      <c r="H51" s="225">
        <f ca="1">IFERROR(__xludf.DUMMYFUNCTION("""COMPUTED_VALUE"""),2)</f>
        <v>2</v>
      </c>
      <c r="I51" s="225" t="str">
        <f ca="1">IFERROR(__xludf.DUMMYFUNCTION("""COMPUTED_VALUE"""),"HH survey ")</f>
        <v xml:space="preserve">HH survey </v>
      </c>
      <c r="J51" s="225" t="str">
        <f ca="1">IFERROR(__xludf.DUMMYFUNCTION("""COMPUTED_VALUE"""),"SMART surveys")</f>
        <v>SMART surveys</v>
      </c>
      <c r="K51" s="226" t="str">
        <f ca="1">IFERROR(__xludf.DUMMYFUNCTION("""COMPUTED_VALUE"""),"≥60%")</f>
        <v>≥60%</v>
      </c>
      <c r="L51" s="226" t="str">
        <f ca="1">IFERROR(__xludf.DUMMYFUNCTION("""COMPUTED_VALUE"""),"40-60%")</f>
        <v>40-60%</v>
      </c>
      <c r="M51" s="226" t="str">
        <f ca="1">IFERROR(__xludf.DUMMYFUNCTION("""COMPUTED_VALUE"""),"20-40%")</f>
        <v>20-40%</v>
      </c>
      <c r="N51" s="226" t="str">
        <f ca="1">IFERROR(__xludf.DUMMYFUNCTION("""COMPUTED_VALUE"""),"10-20%")</f>
        <v>10-20%</v>
      </c>
      <c r="O51" s="226" t="str">
        <f ca="1">IFERROR(__xludf.DUMMYFUNCTION("""COMPUTED_VALUE"""),"&lt;10%")</f>
        <v>&lt;10%</v>
      </c>
      <c r="P51" s="227"/>
      <c r="Q51" s="215"/>
      <c r="R51" s="215"/>
      <c r="S51" s="215"/>
      <c r="T51" s="216"/>
      <c r="U51" s="216"/>
    </row>
    <row r="52" spans="1:21" ht="100" hidden="1">
      <c r="A52" s="202">
        <f ca="1">IFERROR(__xludf.DUMMYFUNCTION("""COMPUTED_VALUE"""),47)</f>
        <v>47</v>
      </c>
      <c r="B52" s="225" t="str">
        <f ca="1">IFERROR(__xludf.DUMMYFUNCTION("""COMPUTED_VALUE"""),"Nutrition")</f>
        <v>Nutrition</v>
      </c>
      <c r="C52" s="225" t="str">
        <f ca="1">IFERROR(__xludf.DUMMYFUNCTION("""COMPUTED_VALUE"""),"Care and feeding practices")</f>
        <v>Care and feeding practices</v>
      </c>
      <c r="D52" s="226" t="str">
        <f ca="1">IFERROR(__xludf.DUMMYFUNCTION("""COMPUTED_VALUE"""),"Humanitarian conditions")</f>
        <v>Humanitarian conditions</v>
      </c>
      <c r="E52" s="226" t="str">
        <f ca="1">IFERROR(__xludf.DUMMYFUNCTION("""COMPUTED_VALUE"""),"Living Standards")</f>
        <v>Living Standards</v>
      </c>
      <c r="F52" s="226" t="str">
        <f ca="1">IFERROR(__xludf.DUMMYFUNCTION("""COMPUTED_VALUE"""),"Infants 6-11 months that are not breastfed who have access to Breast Milk Substitutes (BMS) supplies and support in line with the Code and the IFE OG standards and recommendations")</f>
        <v>Infants 6-11 months that are not breastfed who have access to Breast Milk Substitutes (BMS) supplies and support in line with the Code and the IFE OG standards and recommendations</v>
      </c>
      <c r="G52" s="225"/>
      <c r="H52" s="225">
        <f ca="1">IFERROR(__xludf.DUMMYFUNCTION("""COMPUTED_VALUE"""),3)</f>
        <v>3</v>
      </c>
      <c r="I52" s="225" t="str">
        <f ca="1">IFERROR(__xludf.DUMMYFUNCTION("""COMPUTED_VALUE"""),"HH survey ")</f>
        <v xml:space="preserve">HH survey </v>
      </c>
      <c r="J52" s="225" t="str">
        <f ca="1">IFERROR(__xludf.DUMMYFUNCTION("""COMPUTED_VALUE"""),"SMART surveys")</f>
        <v>SMART surveys</v>
      </c>
      <c r="K52" s="226" t="str">
        <f ca="1">IFERROR(__xludf.DUMMYFUNCTION("""COMPUTED_VALUE"""),"≥60%")</f>
        <v>≥60%</v>
      </c>
      <c r="L52" s="226" t="str">
        <f ca="1">IFERROR(__xludf.DUMMYFUNCTION("""COMPUTED_VALUE"""),"40-60%")</f>
        <v>40-60%</v>
      </c>
      <c r="M52" s="226" t="str">
        <f ca="1">IFERROR(__xludf.DUMMYFUNCTION("""COMPUTED_VALUE"""),"20-40%")</f>
        <v>20-40%</v>
      </c>
      <c r="N52" s="226" t="str">
        <f ca="1">IFERROR(__xludf.DUMMYFUNCTION("""COMPUTED_VALUE"""),"10-20%")</f>
        <v>10-20%</v>
      </c>
      <c r="O52" s="226" t="str">
        <f ca="1">IFERROR(__xludf.DUMMYFUNCTION("""COMPUTED_VALUE"""),"&lt;10%")</f>
        <v>&lt;10%</v>
      </c>
      <c r="P52" s="227"/>
      <c r="Q52" s="215"/>
      <c r="R52" s="215"/>
      <c r="S52" s="215"/>
      <c r="T52" s="216"/>
      <c r="U52" s="216"/>
    </row>
    <row r="53" spans="1:21" ht="25" hidden="1">
      <c r="A53" s="202">
        <f ca="1">IFERROR(__xludf.DUMMYFUNCTION("""COMPUTED_VALUE"""),48)</f>
        <v>48</v>
      </c>
      <c r="B53" s="225" t="str">
        <f ca="1">IFERROR(__xludf.DUMMYFUNCTION("""COMPUTED_VALUE"""),"Nutrition")</f>
        <v>Nutrition</v>
      </c>
      <c r="C53" s="225" t="str">
        <f ca="1">IFERROR(__xludf.DUMMYFUNCTION("""COMPUTED_VALUE"""),"Food consumption")</f>
        <v>Food consumption</v>
      </c>
      <c r="D53" s="226" t="str">
        <f ca="1">IFERROR(__xludf.DUMMYFUNCTION("""COMPUTED_VALUE"""),"Humanitarian conditions")</f>
        <v>Humanitarian conditions</v>
      </c>
      <c r="E53" s="226" t="str">
        <f ca="1">IFERROR(__xludf.DUMMYFUNCTION("""COMPUTED_VALUE"""),"Living Standards")</f>
        <v>Living Standards</v>
      </c>
      <c r="F53" s="226" t="str">
        <f ca="1">IFERROR(__xludf.DUMMYFUNCTION("""COMPUTED_VALUE"""),"Minimum Acceptable Diet in children 6 to 23 months")</f>
        <v>Minimum Acceptable Diet in children 6 to 23 months</v>
      </c>
      <c r="G53" s="225"/>
      <c r="H53" s="225">
        <f ca="1">IFERROR(__xludf.DUMMYFUNCTION("""COMPUTED_VALUE"""),1)</f>
        <v>1</v>
      </c>
      <c r="I53" s="225" t="str">
        <f ca="1">IFERROR(__xludf.DUMMYFUNCTION("""COMPUTED_VALUE"""),"HH survey ")</f>
        <v xml:space="preserve">HH survey </v>
      </c>
      <c r="J53" s="225" t="str">
        <f ca="1">IFERROR(__xludf.DUMMYFUNCTION("""COMPUTED_VALUE"""),"SMART surveys")</f>
        <v>SMART surveys</v>
      </c>
      <c r="K53" s="226" t="str">
        <f ca="1">IFERROR(__xludf.DUMMYFUNCTION("""COMPUTED_VALUE"""),"≥70%")</f>
        <v>≥70%</v>
      </c>
      <c r="L53" s="226" t="str">
        <f ca="1">IFERROR(__xludf.DUMMYFUNCTION("""COMPUTED_VALUE"""),"40-70%")</f>
        <v>40-70%</v>
      </c>
      <c r="M53" s="226" t="str">
        <f ca="1">IFERROR(__xludf.DUMMYFUNCTION("""COMPUTED_VALUE"""),"20-40%")</f>
        <v>20-40%</v>
      </c>
      <c r="N53" s="226" t="str">
        <f ca="1">IFERROR(__xludf.DUMMYFUNCTION("""COMPUTED_VALUE"""),"10-20%")</f>
        <v>10-20%</v>
      </c>
      <c r="O53" s="226" t="str">
        <f ca="1">IFERROR(__xludf.DUMMYFUNCTION("""COMPUTED_VALUE"""),"&lt;10%")</f>
        <v>&lt;10%</v>
      </c>
      <c r="P53" s="227"/>
      <c r="Q53" s="215"/>
      <c r="R53" s="215"/>
      <c r="S53" s="215"/>
      <c r="T53" s="216"/>
      <c r="U53" s="216"/>
    </row>
    <row r="54" spans="1:21" ht="25" hidden="1">
      <c r="A54" s="202">
        <f ca="1">IFERROR(__xludf.DUMMYFUNCTION("""COMPUTED_VALUE"""),49)</f>
        <v>49</v>
      </c>
      <c r="B54" s="225" t="str">
        <f ca="1">IFERROR(__xludf.DUMMYFUNCTION("""COMPUTED_VALUE"""),"Nutrition")</f>
        <v>Nutrition</v>
      </c>
      <c r="C54" s="225" t="str">
        <f ca="1">IFERROR(__xludf.DUMMYFUNCTION("""COMPUTED_VALUE"""),"Food consumption")</f>
        <v>Food consumption</v>
      </c>
      <c r="D54" s="226" t="str">
        <f ca="1">IFERROR(__xludf.DUMMYFUNCTION("""COMPUTED_VALUE"""),"Humanitarian conditions")</f>
        <v>Humanitarian conditions</v>
      </c>
      <c r="E54" s="226" t="str">
        <f ca="1">IFERROR(__xludf.DUMMYFUNCTION("""COMPUTED_VALUE"""),"Living Standards")</f>
        <v>Living Standards</v>
      </c>
      <c r="F54" s="226" t="str">
        <f ca="1">IFERROR(__xludf.DUMMYFUNCTION("""COMPUTED_VALUE"""),"Minimum Dietary Diversity in children 6 to 23 months")</f>
        <v>Minimum Dietary Diversity in children 6 to 23 months</v>
      </c>
      <c r="G54" s="225"/>
      <c r="H54" s="225">
        <f ca="1">IFERROR(__xludf.DUMMYFUNCTION("""COMPUTED_VALUE"""),1)</f>
        <v>1</v>
      </c>
      <c r="I54" s="225" t="str">
        <f ca="1">IFERROR(__xludf.DUMMYFUNCTION("""COMPUTED_VALUE"""),"HH survey ")</f>
        <v xml:space="preserve">HH survey </v>
      </c>
      <c r="J54" s="225" t="str">
        <f ca="1">IFERROR(__xludf.DUMMYFUNCTION("""COMPUTED_VALUE"""),"SMART surveys")</f>
        <v>SMART surveys</v>
      </c>
      <c r="K54" s="226" t="str">
        <f ca="1">IFERROR(__xludf.DUMMYFUNCTION("""COMPUTED_VALUE"""),"≥70%")</f>
        <v>≥70%</v>
      </c>
      <c r="L54" s="226" t="str">
        <f ca="1">IFERROR(__xludf.DUMMYFUNCTION("""COMPUTED_VALUE"""),"40-70%")</f>
        <v>40-70%</v>
      </c>
      <c r="M54" s="226" t="str">
        <f ca="1">IFERROR(__xludf.DUMMYFUNCTION("""COMPUTED_VALUE"""),"20-40%")</f>
        <v>20-40%</v>
      </c>
      <c r="N54" s="226" t="str">
        <f ca="1">IFERROR(__xludf.DUMMYFUNCTION("""COMPUTED_VALUE"""),"10-20%")</f>
        <v>10-20%</v>
      </c>
      <c r="O54" s="226" t="str">
        <f ca="1">IFERROR(__xludf.DUMMYFUNCTION("""COMPUTED_VALUE"""),"&lt;10%")</f>
        <v>&lt;10%</v>
      </c>
      <c r="P54" s="227"/>
      <c r="Q54" s="215"/>
      <c r="R54" s="215"/>
      <c r="S54" s="215"/>
      <c r="T54" s="216"/>
      <c r="U54" s="216"/>
    </row>
    <row r="55" spans="1:21" ht="50" hidden="1">
      <c r="A55" s="202">
        <f ca="1">IFERROR(__xludf.DUMMYFUNCTION("""COMPUTED_VALUE"""),50)</f>
        <v>50</v>
      </c>
      <c r="B55" s="225" t="str">
        <f ca="1">IFERROR(__xludf.DUMMYFUNCTION("""COMPUTED_VALUE"""),"Nutrition")</f>
        <v>Nutrition</v>
      </c>
      <c r="C55" s="225" t="str">
        <f ca="1">IFERROR(__xludf.DUMMYFUNCTION("""COMPUTED_VALUE"""),"GAM")</f>
        <v>GAM</v>
      </c>
      <c r="D55" s="226" t="str">
        <f ca="1">IFERROR(__xludf.DUMMYFUNCTION("""COMPUTED_VALUE"""),"Humanitarian conditions")</f>
        <v>Humanitarian conditions</v>
      </c>
      <c r="E55" s="226" t="str">
        <f ca="1">IFERROR(__xludf.DUMMYFUNCTION("""COMPUTED_VALUE"""),"Physical and Mental Wellbeing")</f>
        <v>Physical and Mental Wellbeing</v>
      </c>
      <c r="F55" s="226" t="str">
        <f ca="1">IFERROR(__xludf.DUMMYFUNCTION("""COMPUTED_VALUE"""),"Prevalence of Global Acute Malnutrition (GAM) based on BMI-for-Age Z-Score&lt;-2 among Adolescents")</f>
        <v>Prevalence of Global Acute Malnutrition (GAM) based on BMI-for-Age Z-Score&lt;-2 among Adolescents</v>
      </c>
      <c r="G55" s="225"/>
      <c r="H55" s="225">
        <f ca="1">IFERROR(__xludf.DUMMYFUNCTION("""COMPUTED_VALUE"""),3)</f>
        <v>3</v>
      </c>
      <c r="I55" s="225" t="str">
        <f ca="1">IFERROR(__xludf.DUMMYFUNCTION("""COMPUTED_VALUE"""),"HH survey ")</f>
        <v xml:space="preserve">HH survey </v>
      </c>
      <c r="J55" s="225" t="str">
        <f ca="1">IFERROR(__xludf.DUMMYFUNCTION("""COMPUTED_VALUE"""),"SMART surveys")</f>
        <v>SMART surveys</v>
      </c>
      <c r="K55" s="226" t="str">
        <f ca="1">IFERROR(__xludf.DUMMYFUNCTION("""COMPUTED_VALUE"""),"&lt;2.5%")</f>
        <v>&lt;2.5%</v>
      </c>
      <c r="L55" s="226" t="str">
        <f ca="1">IFERROR(__xludf.DUMMYFUNCTION("""COMPUTED_VALUE"""),"2.5-4.9%")</f>
        <v>2.5-4.9%</v>
      </c>
      <c r="M55" s="226" t="str">
        <f ca="1">IFERROR(__xludf.DUMMYFUNCTION("""COMPUTED_VALUE"""),"5-9.9%")</f>
        <v>5-9.9%</v>
      </c>
      <c r="N55" s="226" t="str">
        <f ca="1">IFERROR(__xludf.DUMMYFUNCTION("""COMPUTED_VALUE"""),"10-14.9%")</f>
        <v>10-14.9%</v>
      </c>
      <c r="O55" s="226" t="str">
        <f ca="1">IFERROR(__xludf.DUMMYFUNCTION("""COMPUTED_VALUE"""),"≥15%")</f>
        <v>≥15%</v>
      </c>
      <c r="P55" s="227"/>
      <c r="Q55" s="215"/>
      <c r="R55" s="215"/>
      <c r="S55" s="215"/>
      <c r="T55" s="216"/>
      <c r="U55" s="216"/>
    </row>
    <row r="56" spans="1:21" ht="87.5" hidden="1">
      <c r="A56" s="202">
        <f ca="1">IFERROR(__xludf.DUMMYFUNCTION("""COMPUTED_VALUE"""),51)</f>
        <v>51</v>
      </c>
      <c r="B56" s="225" t="str">
        <f ca="1">IFERROR(__xludf.DUMMYFUNCTION("""COMPUTED_VALUE"""),"Nutrition")</f>
        <v>Nutrition</v>
      </c>
      <c r="C56" s="225" t="str">
        <f ca="1">IFERROR(__xludf.DUMMYFUNCTION("""COMPUTED_VALUE"""),"GAM")</f>
        <v>GAM</v>
      </c>
      <c r="D56" s="225" t="str">
        <f ca="1">IFERROR(__xludf.DUMMYFUNCTION("""COMPUTED_VALUE"""),"Humanitarian conditions")</f>
        <v>Humanitarian conditions</v>
      </c>
      <c r="E56" s="225" t="str">
        <f ca="1">IFERROR(__xludf.DUMMYFUNCTION("""COMPUTED_VALUE"""),"Physical and Mental Wellbeing")</f>
        <v>Physical and Mental Wellbeing</v>
      </c>
      <c r="F56" s="225" t="str">
        <f ca="1">IFERROR(__xludf.DUMMYFUNCTION("""COMPUTED_VALUE"""),"Prevalence of Global Acute Malnutrition (GAM) based on Mid-Upper Arm Circumference (MUAC) &lt;125mm and/or bilateral oedema among children 6-59 months")</f>
        <v>Prevalence of Global Acute Malnutrition (GAM) based on Mid-Upper Arm Circumference (MUAC) &lt;125mm and/or bilateral oedema among children 6-59 months</v>
      </c>
      <c r="G56" s="225"/>
      <c r="H56" s="225" t="str">
        <f ca="1">IFERROR(__xludf.DUMMYFUNCTION("""COMPUTED_VALUE"""),"1 - only if GAM based on WHZ is not available (line 48)")</f>
        <v>1 - only if GAM based on WHZ is not available (line 48)</v>
      </c>
      <c r="I56" s="225" t="str">
        <f ca="1">IFERROR(__xludf.DUMMYFUNCTION("""COMPUTED_VALUE"""),"HH survey ")</f>
        <v xml:space="preserve">HH survey </v>
      </c>
      <c r="J56" s="225" t="str">
        <f ca="1">IFERROR(__xludf.DUMMYFUNCTION("""COMPUTED_VALUE"""),"SMART surveys")</f>
        <v>SMART surveys</v>
      </c>
      <c r="K56" s="226" t="str">
        <f ca="1">IFERROR(__xludf.DUMMYFUNCTION("""COMPUTED_VALUE"""),"MUAC &lt;5%: Phase 1-2; ")</f>
        <v xml:space="preserve">MUAC &lt;5%: Phase 1-2; </v>
      </c>
      <c r="L56" s="226" t="str">
        <f ca="1">IFERROR(__xludf.DUMMYFUNCTION("""COMPUTED_VALUE"""),"MUAC 5-9.9%: Phase 2-3; ")</f>
        <v xml:space="preserve">MUAC 5-9.9%: Phase 2-3; </v>
      </c>
      <c r="M56" s="226" t="str">
        <f ca="1">IFERROR(__xludf.DUMMYFUNCTION("""COMPUTED_VALUE"""),"MUAC 10-14.9: Phase 3-4; ")</f>
        <v xml:space="preserve">MUAC 10-14.9: Phase 3-4; </v>
      </c>
      <c r="N56" s="226" t="str">
        <f ca="1">IFERROR(__xludf.DUMMYFUNCTION("""COMPUTED_VALUE"""),"MUAC &gt;=15%: Phase 4-5")</f>
        <v>MUAC &gt;=15%: Phase 4-5</v>
      </c>
      <c r="O56" s="226"/>
      <c r="P56" s="227" t="str">
        <f ca="1">IFERROR(__xludf.DUMMYFUNCTION("""COMPUTED_VALUE"""),"To only use GAm based on MUAC if GAM based on WHZ is not available. Thresholds are based on IPC Acute Malnutrition and cut across multiple phases. Not sure how to present this here. ")</f>
        <v xml:space="preserve">To only use GAm based on MUAC if GAM based on WHZ is not available. Thresholds are based on IPC Acute Malnutrition and cut across multiple phases. Not sure how to present this here. </v>
      </c>
      <c r="Q56" s="215"/>
      <c r="R56" s="215"/>
      <c r="S56" s="215"/>
      <c r="T56" s="216"/>
      <c r="U56" s="216"/>
    </row>
    <row r="57" spans="1:21" ht="112.5" hidden="1">
      <c r="A57" s="202">
        <f ca="1">IFERROR(__xludf.DUMMYFUNCTION("""COMPUTED_VALUE"""),52)</f>
        <v>52</v>
      </c>
      <c r="B57" s="225" t="str">
        <f ca="1">IFERROR(__xludf.DUMMYFUNCTION("""COMPUTED_VALUE"""),"Nutrition")</f>
        <v>Nutrition</v>
      </c>
      <c r="C57" s="225" t="str">
        <f ca="1">IFERROR(__xludf.DUMMYFUNCTION("""COMPUTED_VALUE"""),"GAM")</f>
        <v>GAM</v>
      </c>
      <c r="D57" s="225" t="str">
        <f ca="1">IFERROR(__xludf.DUMMYFUNCTION("""COMPUTED_VALUE"""),"Humanitarian conditions")</f>
        <v>Humanitarian conditions</v>
      </c>
      <c r="E57" s="225" t="str">
        <f ca="1">IFERROR(__xludf.DUMMYFUNCTION("""COMPUTED_VALUE"""),"Physical and Mental Wellbeing")</f>
        <v>Physical and Mental Wellbeing</v>
      </c>
      <c r="F57" s="225" t="str">
        <f ca="1">IFERROR(__xludf.DUMMYFUNCTION("""COMPUTED_VALUE"""),"Prevalence of Global Acute Malnutrition (GAM) based on Mid-Upper Arm Circumference (MUAC)&lt;210-230 (depending on the contexts) and/or bilateral oedema among Pregnant and Lactating Women (PLW)")</f>
        <v>Prevalence of Global Acute Malnutrition (GAM) based on Mid-Upper Arm Circumference (MUAC)&lt;210-230 (depending on the contexts) and/or bilateral oedema among Pregnant and Lactating Women (PLW)</v>
      </c>
      <c r="G57" s="225"/>
      <c r="H57" s="225" t="str">
        <f ca="1">IFERROR(__xludf.DUMMYFUNCTION("""COMPUTED_VALUE"""),"2 (if the above two indicators are not available in line 52 and 48)")</f>
        <v>2 (if the above two indicators are not available in line 52 and 48)</v>
      </c>
      <c r="I57" s="225" t="str">
        <f ca="1">IFERROR(__xludf.DUMMYFUNCTION("""COMPUTED_VALUE"""),"HH survey ")</f>
        <v xml:space="preserve">HH survey </v>
      </c>
      <c r="J57" s="225" t="str">
        <f ca="1">IFERROR(__xludf.DUMMYFUNCTION("""COMPUTED_VALUE"""),"SMART surveys")</f>
        <v>SMART surveys</v>
      </c>
      <c r="K57" s="226" t="str">
        <f ca="1">IFERROR(__xludf.DUMMYFUNCTION("""COMPUTED_VALUE"""),"&lt;=12.5%")</f>
        <v>&lt;=12.5%</v>
      </c>
      <c r="L57" s="226" t="str">
        <f ca="1">IFERROR(__xludf.DUMMYFUNCTION("""COMPUTED_VALUE"""),"12.6%-19.9%")</f>
        <v>12.6%-19.9%</v>
      </c>
      <c r="M57" s="226" t="str">
        <f ca="1">IFERROR(__xludf.DUMMYFUNCTION("""COMPUTED_VALUE"""),"20-24.9%")</f>
        <v>20-24.9%</v>
      </c>
      <c r="N57" s="226" t="str">
        <f ca="1">IFERROR(__xludf.DUMMYFUNCTION("""COMPUTED_VALUE"""),"25-34.9%")</f>
        <v>25-34.9%</v>
      </c>
      <c r="O57" s="226" t="str">
        <f ca="1">IFERROR(__xludf.DUMMYFUNCTION("""COMPUTED_VALUE"""),"≥35%")</f>
        <v>≥35%</v>
      </c>
      <c r="P57" s="227" t="str">
        <f ca="1">IFERROR(__xludf.DUMMYFUNCTION("""COMPUTED_VALUE"""),"Preliminary thresholds based on Somalia’s Food Security and Nutrition Analysis Unit (FSNAU)")</f>
        <v>Preliminary thresholds based on Somalia’s Food Security and Nutrition Analysis Unit (FSNAU)</v>
      </c>
      <c r="Q57" s="215"/>
      <c r="R57" s="215"/>
      <c r="S57" s="215"/>
      <c r="T57" s="216"/>
      <c r="U57" s="216"/>
    </row>
    <row r="58" spans="1:21" ht="87.5" hidden="1">
      <c r="A58" s="202">
        <f ca="1">IFERROR(__xludf.DUMMYFUNCTION("""COMPUTED_VALUE"""),53)</f>
        <v>53</v>
      </c>
      <c r="B58" s="225" t="str">
        <f ca="1">IFERROR(__xludf.DUMMYFUNCTION("""COMPUTED_VALUE"""),"Nutrition")</f>
        <v>Nutrition</v>
      </c>
      <c r="C58" s="225" t="str">
        <f ca="1">IFERROR(__xludf.DUMMYFUNCTION("""COMPUTED_VALUE"""),"GAM")</f>
        <v>GAM</v>
      </c>
      <c r="D58" s="225" t="str">
        <f ca="1">IFERROR(__xludf.DUMMYFUNCTION("""COMPUTED_VALUE"""),"Humanitarian conditions")</f>
        <v>Humanitarian conditions</v>
      </c>
      <c r="E58" s="225" t="str">
        <f ca="1">IFERROR(__xludf.DUMMYFUNCTION("""COMPUTED_VALUE"""),"Physical and Mental Wellbeing")</f>
        <v>Physical and Mental Wellbeing</v>
      </c>
      <c r="F58" s="225" t="str">
        <f ca="1">IFERROR(__xludf.DUMMYFUNCTION("""COMPUTED_VALUE"""),"Prevalence of Global Acute Malnutrition (GAM) based on Mid-Upper Arm Circumference (MUAC)&lt;210mm among Older People")</f>
        <v>Prevalence of Global Acute Malnutrition (GAM) based on Mid-Upper Arm Circumference (MUAC)&lt;210mm among Older People</v>
      </c>
      <c r="G58" s="225"/>
      <c r="H58" s="225">
        <f ca="1">IFERROR(__xludf.DUMMYFUNCTION("""COMPUTED_VALUE"""),3)</f>
        <v>3</v>
      </c>
      <c r="I58" s="225" t="str">
        <f ca="1">IFERROR(__xludf.DUMMYFUNCTION("""COMPUTED_VALUE"""),"HH survey ")</f>
        <v xml:space="preserve">HH survey </v>
      </c>
      <c r="J58" s="225" t="str">
        <f ca="1">IFERROR(__xludf.DUMMYFUNCTION("""COMPUTED_VALUE"""),"SMART surveys")</f>
        <v>SMART surveys</v>
      </c>
      <c r="K58" s="226" t="str">
        <f ca="1">IFERROR(__xludf.DUMMYFUNCTION("""COMPUTED_VALUE"""),"&lt;5%")</f>
        <v>&lt;5%</v>
      </c>
      <c r="L58" s="226" t="str">
        <f ca="1">IFERROR(__xludf.DUMMYFUNCTION("""COMPUTED_VALUE"""),"5-9.9%")</f>
        <v>5-9.9%</v>
      </c>
      <c r="M58" s="226" t="str">
        <f ca="1">IFERROR(__xludf.DUMMYFUNCTION("""COMPUTED_VALUE"""),"10-14.9% OR
 5-9.9%*")</f>
        <v>10-14.9% OR
 5-9.9%*</v>
      </c>
      <c r="N58" s="226" t="str">
        <f ca="1">IFERROR(__xludf.DUMMYFUNCTION("""COMPUTED_VALUE"""),"≥15% OR
 10-14.9%*")</f>
        <v>≥15% OR
 10-14.9%*</v>
      </c>
      <c r="O58" s="226"/>
      <c r="P58" s="227" t="str">
        <f ca="1">IFERROR(__xludf.DUMMYFUNCTION("""COMPUTED_VALUE"""),"*If presence of aggravating factors which include: a general food ration below 2,100kcal per person per day; a disease outbreak (i.e cholera or malaria); inadequate safe water supplies and sanitation; inadequate shelter; war and conflict, civil strife, mi"&amp;"gration and displacement. ")</f>
        <v xml:space="preserve">*If presence of aggravating factors which include: a general food ration below 2,100kcal per person per day; a disease outbreak (i.e cholera or malaria); inadequate safe water supplies and sanitation; inadequate shelter; war and conflict, civil strife, migration and displacement. </v>
      </c>
      <c r="Q58" s="215"/>
      <c r="R58" s="215"/>
      <c r="S58" s="215"/>
      <c r="T58" s="216"/>
      <c r="U58" s="216"/>
    </row>
    <row r="59" spans="1:21" ht="75" hidden="1">
      <c r="A59" s="202">
        <f ca="1">IFERROR(__xludf.DUMMYFUNCTION("""COMPUTED_VALUE"""),54)</f>
        <v>54</v>
      </c>
      <c r="B59" s="225" t="str">
        <f ca="1">IFERROR(__xludf.DUMMYFUNCTION("""COMPUTED_VALUE"""),"Nutrition")</f>
        <v>Nutrition</v>
      </c>
      <c r="C59" s="225" t="str">
        <f ca="1">IFERROR(__xludf.DUMMYFUNCTION("""COMPUTED_VALUE"""),"GAM")</f>
        <v>GAM</v>
      </c>
      <c r="D59" s="226" t="str">
        <f ca="1">IFERROR(__xludf.DUMMYFUNCTION("""COMPUTED_VALUE"""),"Humanitarian conditions")</f>
        <v>Humanitarian conditions</v>
      </c>
      <c r="E59" s="226" t="str">
        <f ca="1">IFERROR(__xludf.DUMMYFUNCTION("""COMPUTED_VALUE"""),"Physical and Mental Wellbeing")</f>
        <v>Physical and Mental Wellbeing</v>
      </c>
      <c r="F59" s="226" t="str">
        <f ca="1">IFERROR(__xludf.DUMMYFUNCTION("""COMPUTED_VALUE"""),"Prevalence of Global Acute Malnutrition (GAM) based on weight for height Z-score (WHZ)&lt;-2 and/or bilateral oedema among children 0-59 months")</f>
        <v>Prevalence of Global Acute Malnutrition (GAM) based on weight for height Z-score (WHZ)&lt;-2 and/or bilateral oedema among children 0-59 months</v>
      </c>
      <c r="G59" s="225"/>
      <c r="H59" s="225">
        <f ca="1">IFERROR(__xludf.DUMMYFUNCTION("""COMPUTED_VALUE"""),1)</f>
        <v>1</v>
      </c>
      <c r="I59" s="225" t="str">
        <f ca="1">IFERROR(__xludf.DUMMYFUNCTION("""COMPUTED_VALUE"""),"HH survey ")</f>
        <v xml:space="preserve">HH survey </v>
      </c>
      <c r="J59" s="225" t="str">
        <f ca="1">IFERROR(__xludf.DUMMYFUNCTION("""COMPUTED_VALUE"""),"SMART surveys")</f>
        <v>SMART surveys</v>
      </c>
      <c r="K59" s="226" t="str">
        <f ca="1">IFERROR(__xludf.DUMMYFUNCTION("""COMPUTED_VALUE"""),"&lt;5%")</f>
        <v>&lt;5%</v>
      </c>
      <c r="L59" s="226" t="str">
        <f ca="1">IFERROR(__xludf.DUMMYFUNCTION("""COMPUTED_VALUE"""),"5-9.9%")</f>
        <v>5-9.9%</v>
      </c>
      <c r="M59" s="226" t="str">
        <f ca="1">IFERROR(__xludf.DUMMYFUNCTION("""COMPUTED_VALUE"""),"10-14.9%")</f>
        <v>10-14.9%</v>
      </c>
      <c r="N59" s="226" t="str">
        <f ca="1">IFERROR(__xludf.DUMMYFUNCTION("""COMPUTED_VALUE"""),"15-29.9%")</f>
        <v>15-29.9%</v>
      </c>
      <c r="O59" s="226" t="str">
        <f ca="1">IFERROR(__xludf.DUMMYFUNCTION("""COMPUTED_VALUE"""),"≥30%")</f>
        <v>≥30%</v>
      </c>
      <c r="P59" s="227"/>
      <c r="Q59" s="215"/>
      <c r="R59" s="215"/>
      <c r="S59" s="215"/>
      <c r="T59" s="216"/>
      <c r="U59" s="216"/>
    </row>
    <row r="60" spans="1:21" ht="37.5" hidden="1">
      <c r="A60" s="202">
        <f ca="1">IFERROR(__xludf.DUMMYFUNCTION("""COMPUTED_VALUE"""),55)</f>
        <v>55</v>
      </c>
      <c r="B60" s="225" t="str">
        <f ca="1">IFERROR(__xludf.DUMMYFUNCTION("""COMPUTED_VALUE"""),"Nutrition")</f>
        <v>Nutrition</v>
      </c>
      <c r="C60" s="225" t="str">
        <f ca="1">IFERROR(__xludf.DUMMYFUNCTION("""COMPUTED_VALUE"""),"Micronutrient deficiency")</f>
        <v>Micronutrient deficiency</v>
      </c>
      <c r="D60" s="226" t="str">
        <f ca="1">IFERROR(__xludf.DUMMYFUNCTION("""COMPUTED_VALUE"""),"Humanitarian conditions")</f>
        <v>Humanitarian conditions</v>
      </c>
      <c r="E60" s="226" t="str">
        <f ca="1">IFERROR(__xludf.DUMMYFUNCTION("""COMPUTED_VALUE"""),"Physical and Mental Wellbeing")</f>
        <v>Physical and Mental Wellbeing</v>
      </c>
      <c r="F60" s="226" t="str">
        <f ca="1">IFERROR(__xludf.DUMMYFUNCTION("""COMPUTED_VALUE"""),"Prevalence of anemia Hb &lt;11g/dl in children 6 - 59 months")</f>
        <v>Prevalence of anemia Hb &lt;11g/dl in children 6 - 59 months</v>
      </c>
      <c r="G60" s="225"/>
      <c r="H60" s="225">
        <f ca="1">IFERROR(__xludf.DUMMYFUNCTION("""COMPUTED_VALUE"""),2)</f>
        <v>2</v>
      </c>
      <c r="I60" s="225" t="str">
        <f ca="1">IFERROR(__xludf.DUMMYFUNCTION("""COMPUTED_VALUE"""),"HH survey ")</f>
        <v xml:space="preserve">HH survey </v>
      </c>
      <c r="J60" s="225" t="str">
        <f ca="1">IFERROR(__xludf.DUMMYFUNCTION("""COMPUTED_VALUE"""),"SMART surveys")</f>
        <v>SMART surveys</v>
      </c>
      <c r="K60" s="226" t="str">
        <f ca="1">IFERROR(__xludf.DUMMYFUNCTION("""COMPUTED_VALUE"""),"&lt;5%")</f>
        <v>&lt;5%</v>
      </c>
      <c r="L60" s="226" t="str">
        <f ca="1">IFERROR(__xludf.DUMMYFUNCTION("""COMPUTED_VALUE"""),"5-19.9%")</f>
        <v>5-19.9%</v>
      </c>
      <c r="M60" s="226" t="str">
        <f ca="1">IFERROR(__xludf.DUMMYFUNCTION("""COMPUTED_VALUE"""),"20-39.9%")</f>
        <v>20-39.9%</v>
      </c>
      <c r="N60" s="226" t="str">
        <f ca="1">IFERROR(__xludf.DUMMYFUNCTION("""COMPUTED_VALUE"""),"≥40%")</f>
        <v>≥40%</v>
      </c>
      <c r="O60" s="226"/>
      <c r="P60" s="227" t="str">
        <f ca="1">IFERROR(__xludf.DUMMYFUNCTION("""COMPUTED_VALUE"""),"Note that the threholds are not 5-points in nature")</f>
        <v>Note that the threholds are not 5-points in nature</v>
      </c>
      <c r="Q60" s="215"/>
      <c r="R60" s="215"/>
      <c r="S60" s="215"/>
      <c r="T60" s="216"/>
      <c r="U60" s="216"/>
    </row>
    <row r="61" spans="1:21" ht="37.5" hidden="1">
      <c r="A61" s="202">
        <f ca="1">IFERROR(__xludf.DUMMYFUNCTION("""COMPUTED_VALUE"""),56)</f>
        <v>56</v>
      </c>
      <c r="B61" s="225" t="str">
        <f ca="1">IFERROR(__xludf.DUMMYFUNCTION("""COMPUTED_VALUE"""),"Nutrition")</f>
        <v>Nutrition</v>
      </c>
      <c r="C61" s="225" t="str">
        <f ca="1">IFERROR(__xludf.DUMMYFUNCTION("""COMPUTED_VALUE"""),"Micronutrient deficiency")</f>
        <v>Micronutrient deficiency</v>
      </c>
      <c r="D61" s="226" t="str">
        <f ca="1">IFERROR(__xludf.DUMMYFUNCTION("""COMPUTED_VALUE"""),"Humanitarian conditions")</f>
        <v>Humanitarian conditions</v>
      </c>
      <c r="E61" s="226" t="str">
        <f ca="1">IFERROR(__xludf.DUMMYFUNCTION("""COMPUTED_VALUE"""),"Physical and Mental Wellbeing")</f>
        <v>Physical and Mental Wellbeing</v>
      </c>
      <c r="F61" s="226" t="str">
        <f ca="1">IFERROR(__xludf.DUMMYFUNCTION("""COMPUTED_VALUE"""),"Prevalence of anemia Hb &lt;11g/dl in pregnant lactating women")</f>
        <v>Prevalence of anemia Hb &lt;11g/dl in pregnant lactating women</v>
      </c>
      <c r="G61" s="225"/>
      <c r="H61" s="225">
        <f ca="1">IFERROR(__xludf.DUMMYFUNCTION("""COMPUTED_VALUE"""),2)</f>
        <v>2</v>
      </c>
      <c r="I61" s="225" t="str">
        <f ca="1">IFERROR(__xludf.DUMMYFUNCTION("""COMPUTED_VALUE"""),"HH survey ")</f>
        <v xml:space="preserve">HH survey </v>
      </c>
      <c r="J61" s="225" t="str">
        <f ca="1">IFERROR(__xludf.DUMMYFUNCTION("""COMPUTED_VALUE"""),"SMART surveys")</f>
        <v>SMART surveys</v>
      </c>
      <c r="K61" s="226" t="str">
        <f ca="1">IFERROR(__xludf.DUMMYFUNCTION("""COMPUTED_VALUE"""),"&lt;5%")</f>
        <v>&lt;5%</v>
      </c>
      <c r="L61" s="226" t="str">
        <f ca="1">IFERROR(__xludf.DUMMYFUNCTION("""COMPUTED_VALUE"""),"5-19.9%")</f>
        <v>5-19.9%</v>
      </c>
      <c r="M61" s="226" t="str">
        <f ca="1">IFERROR(__xludf.DUMMYFUNCTION("""COMPUTED_VALUE"""),"20-39.9%")</f>
        <v>20-39.9%</v>
      </c>
      <c r="N61" s="226" t="str">
        <f ca="1">IFERROR(__xludf.DUMMYFUNCTION("""COMPUTED_VALUE"""),"≥40%")</f>
        <v>≥40%</v>
      </c>
      <c r="O61" s="226"/>
      <c r="P61" s="227" t="str">
        <f ca="1">IFERROR(__xludf.DUMMYFUNCTION("""COMPUTED_VALUE"""),"Note that the threholds are not 5-points in nature")</f>
        <v>Note that the threholds are not 5-points in nature</v>
      </c>
      <c r="Q61" s="215"/>
      <c r="R61" s="215"/>
      <c r="S61" s="215"/>
      <c r="T61" s="216"/>
      <c r="U61" s="216"/>
    </row>
    <row r="62" spans="1:21" ht="37.5" hidden="1">
      <c r="A62" s="202">
        <f ca="1">IFERROR(__xludf.DUMMYFUNCTION("""COMPUTED_VALUE"""),57)</f>
        <v>57</v>
      </c>
      <c r="B62" s="225" t="str">
        <f ca="1">IFERROR(__xludf.DUMMYFUNCTION("""COMPUTED_VALUE"""),"Nutrition")</f>
        <v>Nutrition</v>
      </c>
      <c r="C62" s="225" t="str">
        <f ca="1">IFERROR(__xludf.DUMMYFUNCTION("""COMPUTED_VALUE"""),"Mortality")</f>
        <v>Mortality</v>
      </c>
      <c r="D62" s="225" t="str">
        <f ca="1">IFERROR(__xludf.DUMMYFUNCTION("""COMPUTED_VALUE"""),"Humanitarian conditions")</f>
        <v>Humanitarian conditions</v>
      </c>
      <c r="E62" s="225" t="str">
        <f ca="1">IFERROR(__xludf.DUMMYFUNCTION("""COMPUTED_VALUE"""),"Physical and Mental Wellbeing")</f>
        <v>Physical and Mental Wellbeing</v>
      </c>
      <c r="F62" s="225" t="str">
        <f ca="1">IFERROR(__xludf.DUMMYFUNCTION("""COMPUTED_VALUE"""),"Crude Death/Mortality Rate (deaths/ 10,000 persons/ day)")</f>
        <v>Crude Death/Mortality Rate (deaths/ 10,000 persons/ day)</v>
      </c>
      <c r="G62" s="225"/>
      <c r="H62" s="225"/>
      <c r="I62" s="225" t="str">
        <f ca="1">IFERROR(__xludf.DUMMYFUNCTION("""COMPUTED_VALUE"""),"HH survey")</f>
        <v>HH survey</v>
      </c>
      <c r="J62" s="225" t="str">
        <f ca="1">IFERROR(__xludf.DUMMYFUNCTION("""COMPUTED_VALUE"""),"SMART surveys")</f>
        <v>SMART surveys</v>
      </c>
      <c r="K62" s="226"/>
      <c r="L62" s="226" t="str">
        <f ca="1">IFERROR(__xludf.DUMMYFUNCTION("""COMPUTED_VALUE"""),"&lt;0.5")</f>
        <v>&lt;0.5</v>
      </c>
      <c r="M62" s="226" t="str">
        <f ca="1">IFERROR(__xludf.DUMMYFUNCTION("""COMPUTED_VALUE"""),"0.5-0.9")</f>
        <v>0.5-0.9</v>
      </c>
      <c r="N62" s="226" t="str">
        <f ca="1">IFERROR(__xludf.DUMMYFUNCTION("""COMPUTED_VALUE"""),"1-1.9")</f>
        <v>1-1.9</v>
      </c>
      <c r="O62" s="226" t="str">
        <f ca="1">IFERROR(__xludf.DUMMYFUNCTION("""COMPUTED_VALUE"""),"≥2")</f>
        <v>≥2</v>
      </c>
      <c r="P62" s="227" t="str">
        <f ca="1">IFERROR(__xludf.DUMMYFUNCTION("""COMPUTED_VALUE"""),"Note that the threholds are not 5-points in nature")</f>
        <v>Note that the threholds are not 5-points in nature</v>
      </c>
      <c r="Q62" s="215"/>
      <c r="R62" s="215"/>
      <c r="S62" s="215"/>
      <c r="T62" s="216"/>
      <c r="U62" s="216"/>
    </row>
    <row r="63" spans="1:21" ht="37.5" hidden="1">
      <c r="A63" s="202">
        <f ca="1">IFERROR(__xludf.DUMMYFUNCTION("""COMPUTED_VALUE"""),58)</f>
        <v>58</v>
      </c>
      <c r="B63" s="225" t="str">
        <f ca="1">IFERROR(__xludf.DUMMYFUNCTION("""COMPUTED_VALUE"""),"Nutrition")</f>
        <v>Nutrition</v>
      </c>
      <c r="C63" s="225" t="str">
        <f ca="1">IFERROR(__xludf.DUMMYFUNCTION("""COMPUTED_VALUE"""),"Mortality")</f>
        <v>Mortality</v>
      </c>
      <c r="D63" s="225" t="str">
        <f ca="1">IFERROR(__xludf.DUMMYFUNCTION("""COMPUTED_VALUE"""),"Humanitarian conditions")</f>
        <v>Humanitarian conditions</v>
      </c>
      <c r="E63" s="225" t="str">
        <f ca="1">IFERROR(__xludf.DUMMYFUNCTION("""COMPUTED_VALUE"""),"Physical and Mental Wellbeing")</f>
        <v>Physical and Mental Wellbeing</v>
      </c>
      <c r="F63" s="225" t="str">
        <f ca="1">IFERROR(__xludf.DUMMYFUNCTION("""COMPUTED_VALUE"""),"Under-five Death/Mortality Rate (deaths/ 10,000 children U5/ day)")</f>
        <v>Under-five Death/Mortality Rate (deaths/ 10,000 children U5/ day)</v>
      </c>
      <c r="G63" s="225"/>
      <c r="H63" s="225"/>
      <c r="I63" s="225" t="str">
        <f ca="1">IFERROR(__xludf.DUMMYFUNCTION("""COMPUTED_VALUE"""),"HH survey")</f>
        <v>HH survey</v>
      </c>
      <c r="J63" s="225" t="str">
        <f ca="1">IFERROR(__xludf.DUMMYFUNCTION("""COMPUTED_VALUE"""),"SMART surveys")</f>
        <v>SMART surveys</v>
      </c>
      <c r="K63" s="226"/>
      <c r="L63" s="226" t="str">
        <f ca="1">IFERROR(__xludf.DUMMYFUNCTION("""COMPUTED_VALUE"""),"&lt;1")</f>
        <v>&lt;1</v>
      </c>
      <c r="M63" s="226" t="str">
        <f ca="1">IFERROR(__xludf.DUMMYFUNCTION("""COMPUTED_VALUE"""),"1-1.9")</f>
        <v>1-1.9</v>
      </c>
      <c r="N63" s="226" t="str">
        <f ca="1">IFERROR(__xludf.DUMMYFUNCTION("""COMPUTED_VALUE"""),"2-3.9")</f>
        <v>2-3.9</v>
      </c>
      <c r="O63" s="226" t="str">
        <f ca="1">IFERROR(__xludf.DUMMYFUNCTION("""COMPUTED_VALUE"""),"≥4")</f>
        <v>≥4</v>
      </c>
      <c r="P63" s="227" t="str">
        <f ca="1">IFERROR(__xludf.DUMMYFUNCTION("""COMPUTED_VALUE"""),"Note that the threholds are not 5-points in nature")</f>
        <v>Note that the threholds are not 5-points in nature</v>
      </c>
      <c r="Q63" s="215"/>
      <c r="R63" s="215"/>
      <c r="S63" s="215"/>
      <c r="T63" s="216"/>
      <c r="U63" s="216"/>
    </row>
    <row r="64" spans="1:21" ht="50" hidden="1">
      <c r="A64" s="202">
        <f ca="1">IFERROR(__xludf.DUMMYFUNCTION("""COMPUTED_VALUE"""),59)</f>
        <v>59</v>
      </c>
      <c r="B64" s="225" t="str">
        <f ca="1">IFERROR(__xludf.DUMMYFUNCTION("""COMPUTED_VALUE"""),"Nutrition")</f>
        <v>Nutrition</v>
      </c>
      <c r="C64" s="225" t="str">
        <f ca="1">IFERROR(__xludf.DUMMYFUNCTION("""COMPUTED_VALUE"""),"Overweight")</f>
        <v>Overweight</v>
      </c>
      <c r="D64" s="225" t="str">
        <f ca="1">IFERROR(__xludf.DUMMYFUNCTION("""COMPUTED_VALUE"""),"Humanitarian conditions")</f>
        <v>Humanitarian conditions</v>
      </c>
      <c r="E64" s="225" t="str">
        <f ca="1">IFERROR(__xludf.DUMMYFUNCTION("""COMPUTED_VALUE"""),"Physical and Mental Wellbeing")</f>
        <v>Physical and Mental Wellbeing</v>
      </c>
      <c r="F64" s="225" t="str">
        <f ca="1">IFERROR(__xludf.DUMMYFUNCTION("""COMPUTED_VALUE"""),"Prevalence of overweight based on weight for height Z-score (WHZ)&gt;2 among children 0-59 months")</f>
        <v>Prevalence of overweight based on weight for height Z-score (WHZ)&gt;2 among children 0-59 months</v>
      </c>
      <c r="G64" s="225"/>
      <c r="H64" s="225" t="str">
        <f ca="1">IFERROR(__xludf.DUMMYFUNCTION("""COMPUTED_VALUE"""),"1 in certain contexts")</f>
        <v>1 in certain contexts</v>
      </c>
      <c r="I64" s="225" t="str">
        <f ca="1">IFERROR(__xludf.DUMMYFUNCTION("""COMPUTED_VALUE"""),"HH survey ")</f>
        <v xml:space="preserve">HH survey </v>
      </c>
      <c r="J64" s="225" t="str">
        <f ca="1">IFERROR(__xludf.DUMMYFUNCTION("""COMPUTED_VALUE"""),"SMART surveys")</f>
        <v>SMART surveys</v>
      </c>
      <c r="K64" s="226" t="str">
        <f ca="1">IFERROR(__xludf.DUMMYFUNCTION("""COMPUTED_VALUE"""),"&lt;2.5%")</f>
        <v>&lt;2.5%</v>
      </c>
      <c r="L64" s="226" t="str">
        <f ca="1">IFERROR(__xludf.DUMMYFUNCTION("""COMPUTED_VALUE"""),"2.5-4.9%")</f>
        <v>2.5-4.9%</v>
      </c>
      <c r="M64" s="226" t="str">
        <f ca="1">IFERROR(__xludf.DUMMYFUNCTION("""COMPUTED_VALUE"""),"5-9.9%")</f>
        <v>5-9.9%</v>
      </c>
      <c r="N64" s="226" t="str">
        <f ca="1">IFERROR(__xludf.DUMMYFUNCTION("""COMPUTED_VALUE"""),"10-14.9%")</f>
        <v>10-14.9%</v>
      </c>
      <c r="O64" s="226" t="str">
        <f ca="1">IFERROR(__xludf.DUMMYFUNCTION("""COMPUTED_VALUE"""),"≥15%")</f>
        <v>≥15%</v>
      </c>
      <c r="P64" s="227" t="str">
        <f ca="1">IFERROR(__xludf.DUMMYFUNCTION("""COMPUTED_VALUE"""),"Physical and Mental Well-being if GAM is &lt;5%. If not, move to Living Standards")</f>
        <v>Physical and Mental Well-being if GAM is &lt;5%. If not, move to Living Standards</v>
      </c>
      <c r="Q64" s="215"/>
      <c r="R64" s="215"/>
      <c r="S64" s="215"/>
      <c r="T64" s="216"/>
      <c r="U64" s="216"/>
    </row>
    <row r="65" spans="1:21" ht="50" hidden="1">
      <c r="A65" s="202">
        <f ca="1">IFERROR(__xludf.DUMMYFUNCTION("""COMPUTED_VALUE"""),60)</f>
        <v>60</v>
      </c>
      <c r="B65" s="225" t="str">
        <f ca="1">IFERROR(__xludf.DUMMYFUNCTION("""COMPUTED_VALUE"""),"Nutrition")</f>
        <v>Nutrition</v>
      </c>
      <c r="C65" s="225" t="str">
        <f ca="1">IFERROR(__xludf.DUMMYFUNCTION("""COMPUTED_VALUE"""),"Stunting")</f>
        <v>Stunting</v>
      </c>
      <c r="D65" s="225" t="str">
        <f ca="1">IFERROR(__xludf.DUMMYFUNCTION("""COMPUTED_VALUE"""),"Humanitarian conditions")</f>
        <v>Humanitarian conditions</v>
      </c>
      <c r="E65" s="225" t="str">
        <f ca="1">IFERROR(__xludf.DUMMYFUNCTION("""COMPUTED_VALUE"""),"Physical and Mental Wellbeing")</f>
        <v>Physical and Mental Wellbeing</v>
      </c>
      <c r="F65" s="225" t="str">
        <f ca="1">IFERROR(__xludf.DUMMYFUNCTION("""COMPUTED_VALUE"""),"Prevalence of stunting based on height-for-age Z-score (HAZ)&lt;-2 among children 0-59 months")</f>
        <v>Prevalence of stunting based on height-for-age Z-score (HAZ)&lt;-2 among children 0-59 months</v>
      </c>
      <c r="G65" s="225"/>
      <c r="H65" s="225" t="str">
        <f ca="1">IFERROR(__xludf.DUMMYFUNCTION("""COMPUTED_VALUE"""),"1 if for Living Standards")</f>
        <v>1 if for Living Standards</v>
      </c>
      <c r="I65" s="225" t="str">
        <f ca="1">IFERROR(__xludf.DUMMYFUNCTION("""COMPUTED_VALUE"""),"HH survey ")</f>
        <v xml:space="preserve">HH survey </v>
      </c>
      <c r="J65" s="225" t="str">
        <f ca="1">IFERROR(__xludf.DUMMYFUNCTION("""COMPUTED_VALUE"""),"SMART surveys")</f>
        <v>SMART surveys</v>
      </c>
      <c r="K65" s="226" t="str">
        <f ca="1">IFERROR(__xludf.DUMMYFUNCTION("""COMPUTED_VALUE"""),"&lt;10%")</f>
        <v>&lt;10%</v>
      </c>
      <c r="L65" s="226" t="str">
        <f ca="1">IFERROR(__xludf.DUMMYFUNCTION("""COMPUTED_VALUE"""),"10-19.9%")</f>
        <v>10-19.9%</v>
      </c>
      <c r="M65" s="226" t="str">
        <f ca="1">IFERROR(__xludf.DUMMYFUNCTION("""COMPUTED_VALUE"""),"20-29.9%")</f>
        <v>20-29.9%</v>
      </c>
      <c r="N65" s="226" t="str">
        <f ca="1">IFERROR(__xludf.DUMMYFUNCTION("""COMPUTED_VALUE"""),"≥30%")</f>
        <v>≥30%</v>
      </c>
      <c r="O65" s="226"/>
      <c r="P65" s="227" t="str">
        <f ca="1">IFERROR(__xludf.DUMMYFUNCTION("""COMPUTED_VALUE"""),"Physical and Mental Well-being if GAM is &lt;5%. If not, then move to Living Standards")</f>
        <v>Physical and Mental Well-being if GAM is &lt;5%. If not, then move to Living Standards</v>
      </c>
      <c r="Q65" s="215"/>
      <c r="R65" s="215"/>
      <c r="S65" s="215"/>
      <c r="T65" s="216"/>
      <c r="U65" s="216"/>
    </row>
    <row r="66" spans="1:21" ht="50" hidden="1">
      <c r="A66" s="202">
        <f ca="1">IFERROR(__xludf.DUMMYFUNCTION("""COMPUTED_VALUE"""),61)</f>
        <v>61</v>
      </c>
      <c r="B66" s="228" t="str">
        <f ca="1">IFERROR(__xludf.DUMMYFUNCTION("""COMPUTED_VALUE"""),"Protection")</f>
        <v>Protection</v>
      </c>
      <c r="C66" s="228" t="str">
        <f ca="1">IFERROR(__xludf.DUMMYFUNCTION("""COMPUTED_VALUE"""),"CP")</f>
        <v>CP</v>
      </c>
      <c r="D66" s="228" t="str">
        <f ca="1">IFERROR(__xludf.DUMMYFUNCTION("""COMPUTED_VALUE"""),"Humanitarian Conditions")</f>
        <v>Humanitarian Conditions</v>
      </c>
      <c r="E66" s="228" t="str">
        <f ca="1">IFERROR(__xludf.DUMMYFUNCTION("""COMPUTED_VALUE"""),"Living Standards")</f>
        <v>Living Standards</v>
      </c>
      <c r="F66" s="228" t="str">
        <f ca="1">IFERROR(__xludf.DUMMYFUNCTION("""COMPUTED_VALUE"""),"% of girls / boys not regularly attending school")</f>
        <v>% of girls / boys not regularly attending school</v>
      </c>
      <c r="G66" s="228"/>
      <c r="H66" s="228"/>
      <c r="I66" s="228" t="str">
        <f ca="1">IFERROR(__xludf.DUMMYFUNCTION("""COMPUTED_VALUE"""),"HH survey / KI")</f>
        <v>HH survey / KI</v>
      </c>
      <c r="J66" s="228" t="str">
        <f ca="1">IFERROR(__xludf.DUMMYFUNCTION("""COMPUTED_VALUE"""),"MSNA / EMIS or school database / EiE assessment")</f>
        <v>MSNA / EMIS or school database / EiE assessment</v>
      </c>
      <c r="K66" s="228"/>
      <c r="L66" s="228"/>
      <c r="M66" s="228"/>
      <c r="N66" s="228"/>
      <c r="O66" s="228"/>
      <c r="P66" s="229"/>
      <c r="Q66" s="215"/>
      <c r="R66" s="215"/>
      <c r="S66" s="215"/>
      <c r="T66" s="216"/>
      <c r="U66" s="216"/>
    </row>
    <row r="67" spans="1:21" ht="37.5" hidden="1">
      <c r="A67" s="202">
        <f ca="1">IFERROR(__xludf.DUMMYFUNCTION("""COMPUTED_VALUE"""),62)</f>
        <v>62</v>
      </c>
      <c r="B67" s="228" t="str">
        <f ca="1">IFERROR(__xludf.DUMMYFUNCTION("""COMPUTED_VALUE"""),"Protection")</f>
        <v>Protection</v>
      </c>
      <c r="C67" s="228" t="str">
        <f ca="1">IFERROR(__xludf.DUMMYFUNCTION("""COMPUTED_VALUE"""),"CP")</f>
        <v>CP</v>
      </c>
      <c r="D67" s="228" t="str">
        <f ca="1">IFERROR(__xludf.DUMMYFUNCTION("""COMPUTED_VALUE"""),"Humanitarian Conditions")</f>
        <v>Humanitarian Conditions</v>
      </c>
      <c r="E67" s="228" t="str">
        <f ca="1">IFERROR(__xludf.DUMMYFUNCTION("""COMPUTED_VALUE"""),"Living Standards")</f>
        <v>Living Standards</v>
      </c>
      <c r="F67" s="228" t="str">
        <f ca="1">IFERROR(__xludf.DUMMYFUNCTION("""COMPUTED_VALUE"""),"% of girls / boys without access to core CP services")</f>
        <v>% of girls / boys without access to core CP services</v>
      </c>
      <c r="G67" s="228"/>
      <c r="H67" s="228">
        <f ca="1">IFERROR(__xludf.DUMMYFUNCTION("""COMPUTED_VALUE"""),1)</f>
        <v>1</v>
      </c>
      <c r="I67" s="228" t="str">
        <f ca="1">IFERROR(__xludf.DUMMYFUNCTION("""COMPUTED_VALUE"""),"KI")</f>
        <v>KI</v>
      </c>
      <c r="J67" s="228" t="str">
        <f ca="1">IFERROR(__xludf.DUMMYFUNCTION("""COMPUTED_VALUE"""),"Protection Monitoring / Service mapping")</f>
        <v>Protection Monitoring / Service mapping</v>
      </c>
      <c r="K67" s="228">
        <f ca="1">IFERROR(__xludf.DUMMYFUNCTION("""COMPUTED_VALUE"""),0)</f>
        <v>0</v>
      </c>
      <c r="L67" s="228" t="str">
        <f ca="1">IFERROR(__xludf.DUMMYFUNCTION("""COMPUTED_VALUE"""),"0-5%")</f>
        <v>0-5%</v>
      </c>
      <c r="M67" s="228" t="str">
        <f ca="1">IFERROR(__xludf.DUMMYFUNCTION("""COMPUTED_VALUE"""),"6-10%")</f>
        <v>6-10%</v>
      </c>
      <c r="N67" s="228" t="str">
        <f ca="1">IFERROR(__xludf.DUMMYFUNCTION("""COMPUTED_VALUE"""),"10-13%")</f>
        <v>10-13%</v>
      </c>
      <c r="O67" s="228" t="str">
        <f ca="1">IFERROR(__xludf.DUMMYFUNCTION("""COMPUTED_VALUE"""),"13% +")</f>
        <v>13% +</v>
      </c>
      <c r="P67" s="229"/>
      <c r="Q67" s="215"/>
      <c r="R67" s="215"/>
      <c r="S67" s="215"/>
      <c r="T67" s="216"/>
      <c r="U67" s="216"/>
    </row>
    <row r="68" spans="1:21" ht="37.5" hidden="1">
      <c r="A68" s="202">
        <f ca="1">IFERROR(__xludf.DUMMYFUNCTION("""COMPUTED_VALUE"""),63)</f>
        <v>63</v>
      </c>
      <c r="B68" s="228" t="str">
        <f ca="1">IFERROR(__xludf.DUMMYFUNCTION("""COMPUTED_VALUE"""),"Protection")</f>
        <v>Protection</v>
      </c>
      <c r="C68" s="228" t="str">
        <f ca="1">IFERROR(__xludf.DUMMYFUNCTION("""COMPUTED_VALUE"""),"CP")</f>
        <v>CP</v>
      </c>
      <c r="D68" s="228" t="str">
        <f ca="1">IFERROR(__xludf.DUMMYFUNCTION("""COMPUTED_VALUE"""),"Humanitarian Conditions")</f>
        <v>Humanitarian Conditions</v>
      </c>
      <c r="E68" s="228" t="str">
        <f ca="1">IFERROR(__xludf.DUMMYFUNCTION("""COMPUTED_VALUE"""),"Living Standards")</f>
        <v>Living Standards</v>
      </c>
      <c r="F68" s="228" t="str">
        <f ca="1">IFERROR(__xludf.DUMMYFUNCTION("""COMPUTED_VALUE"""),"% of HHs with knowledge on available core CP services")</f>
        <v>% of HHs with knowledge on available core CP services</v>
      </c>
      <c r="G68" s="228"/>
      <c r="H68" s="228">
        <f ca="1">IFERROR(__xludf.DUMMYFUNCTION("""COMPUTED_VALUE"""),2)</f>
        <v>2</v>
      </c>
      <c r="I68" s="228" t="str">
        <f ca="1">IFERROR(__xludf.DUMMYFUNCTION("""COMPUTED_VALUE"""),"HH Survey")</f>
        <v>HH Survey</v>
      </c>
      <c r="J68" s="228" t="str">
        <f ca="1">IFERROR(__xludf.DUMMYFUNCTION("""COMPUTED_VALUE"""),"MSNA / Protection Monitoring")</f>
        <v>MSNA / Protection Monitoring</v>
      </c>
      <c r="K68" s="228">
        <f ca="1">IFERROR(__xludf.DUMMYFUNCTION("""COMPUTED_VALUE"""),0)</f>
        <v>0</v>
      </c>
      <c r="L68" s="228" t="str">
        <f ca="1">IFERROR(__xludf.DUMMYFUNCTION("""COMPUTED_VALUE"""),"0-5%")</f>
        <v>0-5%</v>
      </c>
      <c r="M68" s="228" t="str">
        <f ca="1">IFERROR(__xludf.DUMMYFUNCTION("""COMPUTED_VALUE"""),"6-10%")</f>
        <v>6-10%</v>
      </c>
      <c r="N68" s="228" t="str">
        <f ca="1">IFERROR(__xludf.DUMMYFUNCTION("""COMPUTED_VALUE"""),"10-13%")</f>
        <v>10-13%</v>
      </c>
      <c r="O68" s="228" t="str">
        <f ca="1">IFERROR(__xludf.DUMMYFUNCTION("""COMPUTED_VALUE"""),"13% +")</f>
        <v>13% +</v>
      </c>
      <c r="P68" s="229"/>
      <c r="Q68" s="215"/>
      <c r="R68" s="215"/>
      <c r="S68" s="215"/>
      <c r="T68" s="216"/>
      <c r="U68" s="216"/>
    </row>
    <row r="69" spans="1:21" ht="37.5" hidden="1">
      <c r="A69" s="202">
        <f ca="1">IFERROR(__xludf.DUMMYFUNCTION("""COMPUTED_VALUE"""),64)</f>
        <v>64</v>
      </c>
      <c r="B69" s="228" t="str">
        <f ca="1">IFERROR(__xludf.DUMMYFUNCTION("""COMPUTED_VALUE"""),"Protection")</f>
        <v>Protection</v>
      </c>
      <c r="C69" s="228" t="str">
        <f ca="1">IFERROR(__xludf.DUMMYFUNCTION("""COMPUTED_VALUE"""),"CP")</f>
        <v>CP</v>
      </c>
      <c r="D69" s="228" t="str">
        <f ca="1">IFERROR(__xludf.DUMMYFUNCTION("""COMPUTED_VALUE"""),"Humanitarian Conditions")</f>
        <v>Humanitarian Conditions</v>
      </c>
      <c r="E69" s="228" t="str">
        <f ca="1">IFERROR(__xludf.DUMMYFUNCTION("""COMPUTED_VALUE"""),"Physical and Mental Wellbeing")</f>
        <v>Physical and Mental Wellbeing</v>
      </c>
      <c r="F69" s="228" t="str">
        <f ca="1">IFERROR(__xludf.DUMMYFUNCTION("""COMPUTED_VALUE"""),"% of girls / boys engaged in hazardours child labour")</f>
        <v>% of girls / boys engaged in hazardours child labour</v>
      </c>
      <c r="G69" s="228"/>
      <c r="H69" s="228">
        <f ca="1">IFERROR(__xludf.DUMMYFUNCTION("""COMPUTED_VALUE"""),1)</f>
        <v>1</v>
      </c>
      <c r="I69" s="228" t="str">
        <f ca="1">IFERROR(__xludf.DUMMYFUNCTION("""COMPUTED_VALUE"""),"HH Survey / KI")</f>
        <v>HH Survey / KI</v>
      </c>
      <c r="J69" s="228" t="str">
        <f ca="1">IFERROR(__xludf.DUMMYFUNCTION("""COMPUTED_VALUE"""),"MSNA / MoSA / MoL / UNICEF")</f>
        <v>MSNA / MoSA / MoL / UNICEF</v>
      </c>
      <c r="K69" s="228">
        <f ca="1">IFERROR(__xludf.DUMMYFUNCTION("""COMPUTED_VALUE"""),0)</f>
        <v>0</v>
      </c>
      <c r="L69" s="228" t="str">
        <f ca="1">IFERROR(__xludf.DUMMYFUNCTION("""COMPUTED_VALUE"""),"0-5%")</f>
        <v>0-5%</v>
      </c>
      <c r="M69" s="228" t="str">
        <f ca="1">IFERROR(__xludf.DUMMYFUNCTION("""COMPUTED_VALUE"""),"6-10%")</f>
        <v>6-10%</v>
      </c>
      <c r="N69" s="228" t="str">
        <f ca="1">IFERROR(__xludf.DUMMYFUNCTION("""COMPUTED_VALUE"""),"10-13%")</f>
        <v>10-13%</v>
      </c>
      <c r="O69" s="228" t="str">
        <f ca="1">IFERROR(__xludf.DUMMYFUNCTION("""COMPUTED_VALUE"""),"13% +")</f>
        <v>13% +</v>
      </c>
      <c r="P69" s="229"/>
      <c r="Q69" s="215"/>
      <c r="R69" s="215"/>
      <c r="S69" s="215"/>
      <c r="T69" s="216"/>
      <c r="U69" s="216"/>
    </row>
    <row r="70" spans="1:21" ht="50" hidden="1">
      <c r="A70" s="202">
        <f ca="1">IFERROR(__xludf.DUMMYFUNCTION("""COMPUTED_VALUE"""),65)</f>
        <v>65</v>
      </c>
      <c r="B70" s="228" t="str">
        <f ca="1">IFERROR(__xludf.DUMMYFUNCTION("""COMPUTED_VALUE"""),"Protection")</f>
        <v>Protection</v>
      </c>
      <c r="C70" s="228" t="str">
        <f ca="1">IFERROR(__xludf.DUMMYFUNCTION("""COMPUTED_VALUE"""),"CP")</f>
        <v>CP</v>
      </c>
      <c r="D70" s="228" t="str">
        <f ca="1">IFERROR(__xludf.DUMMYFUNCTION("""COMPUTED_VALUE"""),"Humanitarian Conditions")</f>
        <v>Humanitarian Conditions</v>
      </c>
      <c r="E70" s="228" t="str">
        <f ca="1">IFERROR(__xludf.DUMMYFUNCTION("""COMPUTED_VALUE"""),"Physical and Mental Wellbeing")</f>
        <v>Physical and Mental Wellbeing</v>
      </c>
      <c r="F70" s="228" t="str">
        <f ca="1">IFERROR(__xludf.DUMMYFUNCTION("""COMPUTED_VALUE"""),"% of girls / boys that have been separated from their parents or other typical adult caregivers")</f>
        <v>% of girls / boys that have been separated from their parents or other typical adult caregivers</v>
      </c>
      <c r="G70" s="228"/>
      <c r="H70" s="228">
        <f ca="1">IFERROR(__xludf.DUMMYFUNCTION("""COMPUTED_VALUE"""),1)</f>
        <v>1</v>
      </c>
      <c r="I70" s="228" t="str">
        <f ca="1">IFERROR(__xludf.DUMMYFUNCTION("""COMPUTED_VALUE"""),"HH Survey / KI")</f>
        <v>HH Survey / KI</v>
      </c>
      <c r="J70" s="228" t="str">
        <f ca="1">IFERROR(__xludf.DUMMYFUNCTION("""COMPUTED_VALUE"""),"MSNA / Protection Monitoring / DTM")</f>
        <v>MSNA / Protection Monitoring / DTM</v>
      </c>
      <c r="K70" s="228">
        <f ca="1">IFERROR(__xludf.DUMMYFUNCTION("""COMPUTED_VALUE"""),0)</f>
        <v>0</v>
      </c>
      <c r="L70" s="228" t="str">
        <f ca="1">IFERROR(__xludf.DUMMYFUNCTION("""COMPUTED_VALUE"""),"0-0.5%")</f>
        <v>0-0.5%</v>
      </c>
      <c r="M70" s="228" t="str">
        <f ca="1">IFERROR(__xludf.DUMMYFUNCTION("""COMPUTED_VALUE"""),"0.5-1%")</f>
        <v>0.5-1%</v>
      </c>
      <c r="N70" s="228" t="str">
        <f ca="1">IFERROR(__xludf.DUMMYFUNCTION("""COMPUTED_VALUE"""),"1-2%")</f>
        <v>1-2%</v>
      </c>
      <c r="O70" s="228" t="str">
        <f ca="1">IFERROR(__xludf.DUMMYFUNCTION("""COMPUTED_VALUE"""),"3%+")</f>
        <v>3%+</v>
      </c>
      <c r="P70" s="229"/>
      <c r="Q70" s="215"/>
      <c r="R70" s="215"/>
      <c r="S70" s="215"/>
      <c r="T70" s="216"/>
      <c r="U70" s="216"/>
    </row>
    <row r="71" spans="1:21" ht="37.5" hidden="1">
      <c r="A71" s="202">
        <f ca="1">IFERROR(__xludf.DUMMYFUNCTION("""COMPUTED_VALUE"""),66)</f>
        <v>66</v>
      </c>
      <c r="B71" s="228" t="str">
        <f ca="1">IFERROR(__xludf.DUMMYFUNCTION("""COMPUTED_VALUE"""),"Protection")</f>
        <v>Protection</v>
      </c>
      <c r="C71" s="228" t="str">
        <f ca="1">IFERROR(__xludf.DUMMYFUNCTION("""COMPUTED_VALUE"""),"CP")</f>
        <v>CP</v>
      </c>
      <c r="D71" s="228" t="str">
        <f ca="1">IFERROR(__xludf.DUMMYFUNCTION("""COMPUTED_VALUE"""),"Humanitarian Conditions")</f>
        <v>Humanitarian Conditions</v>
      </c>
      <c r="E71" s="228" t="str">
        <f ca="1">IFERROR(__xludf.DUMMYFUNCTION("""COMPUTED_VALUE"""),"Physical and Mental Wellbeing")</f>
        <v>Physical and Mental Wellbeing</v>
      </c>
      <c r="F71" s="228" t="str">
        <f ca="1">IFERROR(__xludf.DUMMYFUNCTION("""COMPUTED_VALUE"""),"Prevalence of child marriage")</f>
        <v>Prevalence of child marriage</v>
      </c>
      <c r="G71" s="228"/>
      <c r="H71" s="228">
        <f ca="1">IFERROR(__xludf.DUMMYFUNCTION("""COMPUTED_VALUE"""),1)</f>
        <v>1</v>
      </c>
      <c r="I71" s="228" t="str">
        <f ca="1">IFERROR(__xludf.DUMMYFUNCTION("""COMPUTED_VALUE"""),"HH Survey / KI")</f>
        <v>HH Survey / KI</v>
      </c>
      <c r="J71" s="228" t="str">
        <f ca="1">IFERROR(__xludf.DUMMYFUNCTION("""COMPUTED_VALUE"""),"MSNA / MoSA / UNICEF")</f>
        <v>MSNA / MoSA / UNICEF</v>
      </c>
      <c r="K71" s="228" t="str">
        <f ca="1">IFERROR(__xludf.DUMMYFUNCTION("""COMPUTED_VALUE"""),"0-9% of girls and boys married under the age of 18")</f>
        <v>0-9% of girls and boys married under the age of 18</v>
      </c>
      <c r="L71" s="228" t="str">
        <f ca="1">IFERROR(__xludf.DUMMYFUNCTION("""COMPUTED_VALUE"""),"10-19% of girls and boys married under the age of 18")</f>
        <v>10-19% of girls and boys married under the age of 18</v>
      </c>
      <c r="M71" s="228" t="str">
        <f ca="1">IFERROR(__xludf.DUMMYFUNCTION("""COMPUTED_VALUE"""),"20-25% of girls and boys married under the age of 18")</f>
        <v>20-25% of girls and boys married under the age of 18</v>
      </c>
      <c r="N71" s="228" t="str">
        <f ca="1">IFERROR(__xludf.DUMMYFUNCTION("""COMPUTED_VALUE"""),"25-30% of girls and boys married under the age of 18")</f>
        <v>25-30% of girls and boys married under the age of 18</v>
      </c>
      <c r="O71" s="228" t="str">
        <f ca="1">IFERROR(__xludf.DUMMYFUNCTION("""COMPUTED_VALUE"""),"30 + % of girls and boys married under the age of 18")</f>
        <v>30 + % of girls and boys married under the age of 18</v>
      </c>
      <c r="P71" s="229"/>
      <c r="Q71" s="215"/>
      <c r="R71" s="215"/>
      <c r="S71" s="215"/>
      <c r="T71" s="216"/>
      <c r="U71" s="216"/>
    </row>
    <row r="72" spans="1:21" ht="37.5" hidden="1">
      <c r="A72" s="202">
        <f ca="1">IFERROR(__xludf.DUMMYFUNCTION("""COMPUTED_VALUE"""),67)</f>
        <v>67</v>
      </c>
      <c r="B72" s="228" t="str">
        <f ca="1">IFERROR(__xludf.DUMMYFUNCTION("""COMPUTED_VALUE"""),"Protection")</f>
        <v>Protection</v>
      </c>
      <c r="C72" s="228" t="str">
        <f ca="1">IFERROR(__xludf.DUMMYFUNCTION("""COMPUTED_VALUE"""),"CP / GBV")</f>
        <v>CP / GBV</v>
      </c>
      <c r="D72" s="228" t="str">
        <f ca="1">IFERROR(__xludf.DUMMYFUNCTION("""COMPUTED_VALUE"""),"Humanitarian Conditions")</f>
        <v>Humanitarian Conditions</v>
      </c>
      <c r="E72" s="228" t="str">
        <f ca="1">IFERROR(__xludf.DUMMYFUNCTION("""COMPUTED_VALUE"""),"Coping Mechanisms")</f>
        <v>Coping Mechanisms</v>
      </c>
      <c r="F72" s="228" t="str">
        <f ca="1">IFERROR(__xludf.DUMMYFUNCTION("""COMPUTED_VALUE"""),"% of girls / boys engaging in harmful activities")</f>
        <v>% of girls / boys engaging in harmful activities</v>
      </c>
      <c r="G72" s="228"/>
      <c r="H72" s="228">
        <f ca="1">IFERROR(__xludf.DUMMYFUNCTION("""COMPUTED_VALUE"""),1)</f>
        <v>1</v>
      </c>
      <c r="I72" s="228" t="str">
        <f ca="1">IFERROR(__xludf.DUMMYFUNCTION("""COMPUTED_VALUE"""),"HH Survey")</f>
        <v>HH Survey</v>
      </c>
      <c r="J72" s="228" t="str">
        <f ca="1">IFERROR(__xludf.DUMMYFUNCTION("""COMPUTED_VALUE"""),"MSNA / Protection Monitoring")</f>
        <v>MSNA / Protection Monitoring</v>
      </c>
      <c r="K72" s="228">
        <f ca="1">IFERROR(__xludf.DUMMYFUNCTION("""COMPUTED_VALUE"""),0)</f>
        <v>0</v>
      </c>
      <c r="L72" s="228" t="str">
        <f ca="1">IFERROR(__xludf.DUMMYFUNCTION("""COMPUTED_VALUE"""),"0-5%")</f>
        <v>0-5%</v>
      </c>
      <c r="M72" s="228" t="str">
        <f ca="1">IFERROR(__xludf.DUMMYFUNCTION("""COMPUTED_VALUE"""),"6-10%")</f>
        <v>6-10%</v>
      </c>
      <c r="N72" s="228" t="str">
        <f ca="1">IFERROR(__xludf.DUMMYFUNCTION("""COMPUTED_VALUE"""),"10-13%")</f>
        <v>10-13%</v>
      </c>
      <c r="O72" s="228" t="str">
        <f ca="1">IFERROR(__xludf.DUMMYFUNCTION("""COMPUTED_VALUE"""),"13% +")</f>
        <v>13% +</v>
      </c>
      <c r="P72" s="229"/>
      <c r="Q72" s="215"/>
      <c r="R72" s="215"/>
      <c r="S72" s="215"/>
      <c r="T72" s="216"/>
      <c r="U72" s="216"/>
    </row>
    <row r="73" spans="1:21" ht="37.5" hidden="1">
      <c r="A73" s="202">
        <f ca="1">IFERROR(__xludf.DUMMYFUNCTION("""COMPUTED_VALUE"""),68)</f>
        <v>68</v>
      </c>
      <c r="B73" s="228" t="str">
        <f ca="1">IFERROR(__xludf.DUMMYFUNCTION("""COMPUTED_VALUE"""),"Protection")</f>
        <v>Protection</v>
      </c>
      <c r="C73" s="228" t="str">
        <f ca="1">IFERROR(__xludf.DUMMYFUNCTION("""COMPUTED_VALUE"""),"GBV")</f>
        <v>GBV</v>
      </c>
      <c r="D73" s="228" t="str">
        <f ca="1">IFERROR(__xludf.DUMMYFUNCTION("""COMPUTED_VALUE"""),"Humanitarian Conditions")</f>
        <v>Humanitarian Conditions</v>
      </c>
      <c r="E73" s="228" t="str">
        <f ca="1">IFERROR(__xludf.DUMMYFUNCTION("""COMPUTED_VALUE"""),"Living Standards")</f>
        <v>Living Standards</v>
      </c>
      <c r="F73" s="228" t="str">
        <f ca="1">IFERROR(__xludf.DUMMYFUNCTION("""COMPUTED_VALUE"""),"% of girls / women without access to GBV-related services.")</f>
        <v>% of girls / women without access to GBV-related services.</v>
      </c>
      <c r="G73" s="228"/>
      <c r="H73" s="228">
        <f ca="1">IFERROR(__xludf.DUMMYFUNCTION("""COMPUTED_VALUE"""),1)</f>
        <v>1</v>
      </c>
      <c r="I73" s="228" t="str">
        <f ca="1">IFERROR(__xludf.DUMMYFUNCTION("""COMPUTED_VALUE"""),"KI")</f>
        <v>KI</v>
      </c>
      <c r="J73" s="228" t="str">
        <f ca="1">IFERROR(__xludf.DUMMYFUNCTION("""COMPUTED_VALUE"""),"Protection Monitoring / Service mapping")</f>
        <v>Protection Monitoring / Service mapping</v>
      </c>
      <c r="K73" s="228" t="str">
        <f ca="1">IFERROR(__xludf.DUMMYFUNCTION("""COMPUTED_VALUE"""),"Up to 4 services available")</f>
        <v>Up to 4 services available</v>
      </c>
      <c r="L73" s="228" t="str">
        <f ca="1">IFERROR(__xludf.DUMMYFUNCTION("""COMPUTED_VALUE"""),"Up to 3 services available")</f>
        <v>Up to 3 services available</v>
      </c>
      <c r="M73" s="228" t="str">
        <f ca="1">IFERROR(__xludf.DUMMYFUNCTION("""COMPUTED_VALUE"""),"Up to 2 services available")</f>
        <v>Up to 2 services available</v>
      </c>
      <c r="N73" s="228" t="str">
        <f ca="1">IFERROR(__xludf.DUMMYFUNCTION("""COMPUTED_VALUE"""),"Only 1 service available")</f>
        <v>Only 1 service available</v>
      </c>
      <c r="O73" s="228" t="str">
        <f ca="1">IFERROR(__xludf.DUMMYFUNCTION("""COMPUTED_VALUE"""),"No GBV service available")</f>
        <v>No GBV service available</v>
      </c>
      <c r="P73" s="229"/>
      <c r="Q73" s="215"/>
      <c r="R73" s="215"/>
      <c r="S73" s="215"/>
      <c r="T73" s="216"/>
      <c r="U73" s="216"/>
    </row>
    <row r="74" spans="1:21" ht="37.5" hidden="1">
      <c r="A74" s="202">
        <f ca="1">IFERROR(__xludf.DUMMYFUNCTION("""COMPUTED_VALUE"""),69)</f>
        <v>69</v>
      </c>
      <c r="B74" s="228" t="str">
        <f ca="1">IFERROR(__xludf.DUMMYFUNCTION("""COMPUTED_VALUE"""),"Protection")</f>
        <v>Protection</v>
      </c>
      <c r="C74" s="228" t="str">
        <f ca="1">IFERROR(__xludf.DUMMYFUNCTION("""COMPUTED_VALUE"""),"GBV")</f>
        <v>GBV</v>
      </c>
      <c r="D74" s="228" t="str">
        <f ca="1">IFERROR(__xludf.DUMMYFUNCTION("""COMPUTED_VALUE"""),"Humanitarian Conditions")</f>
        <v>Humanitarian Conditions</v>
      </c>
      <c r="E74" s="228" t="str">
        <f ca="1">IFERROR(__xludf.DUMMYFUNCTION("""COMPUTED_VALUE"""),"Living Standards")</f>
        <v>Living Standards</v>
      </c>
      <c r="F74" s="228" t="str">
        <f ca="1">IFERROR(__xludf.DUMMYFUNCTION("""COMPUTED_VALUE"""),"% of HHs with knowledge on available core services for GBV survivors")</f>
        <v>% of HHs with knowledge on available core services for GBV survivors</v>
      </c>
      <c r="G74" s="228"/>
      <c r="H74" s="228">
        <f ca="1">IFERROR(__xludf.DUMMYFUNCTION("""COMPUTED_VALUE"""),2)</f>
        <v>2</v>
      </c>
      <c r="I74" s="228" t="str">
        <f ca="1">IFERROR(__xludf.DUMMYFUNCTION("""COMPUTED_VALUE"""),"HH Survey")</f>
        <v>HH Survey</v>
      </c>
      <c r="J74" s="228" t="str">
        <f ca="1">IFERROR(__xludf.DUMMYFUNCTION("""COMPUTED_VALUE"""),"MSNA / Protection Monitoring")</f>
        <v>MSNA / Protection Monitoring</v>
      </c>
      <c r="K74" s="228" t="str">
        <f ca="1">IFERROR(__xludf.DUMMYFUNCTION("""COMPUTED_VALUE"""),"&lt; 20%")</f>
        <v>&lt; 20%</v>
      </c>
      <c r="L74" s="228" t="str">
        <f ca="1">IFERROR(__xludf.DUMMYFUNCTION("""COMPUTED_VALUE"""),"20% - 30%")</f>
        <v>20% - 30%</v>
      </c>
      <c r="M74" s="228" t="str">
        <f ca="1">IFERROR(__xludf.DUMMYFUNCTION("""COMPUTED_VALUE"""),"30% - 40%")</f>
        <v>30% - 40%</v>
      </c>
      <c r="N74" s="228" t="str">
        <f ca="1">IFERROR(__xludf.DUMMYFUNCTION("""COMPUTED_VALUE"""),"40% - 50%")</f>
        <v>40% - 50%</v>
      </c>
      <c r="O74" s="228" t="str">
        <f ca="1">IFERROR(__xludf.DUMMYFUNCTION("""COMPUTED_VALUE"""),"&gt; 50%")</f>
        <v>&gt; 50%</v>
      </c>
      <c r="P74" s="229"/>
      <c r="Q74" s="215"/>
      <c r="R74" s="215"/>
      <c r="S74" s="215"/>
      <c r="T74" s="216"/>
      <c r="U74" s="216"/>
    </row>
    <row r="75" spans="1:21" ht="37.5" hidden="1">
      <c r="A75" s="202">
        <f ca="1">IFERROR(__xludf.DUMMYFUNCTION("""COMPUTED_VALUE"""),70)</f>
        <v>70</v>
      </c>
      <c r="B75" s="228" t="str">
        <f ca="1">IFERROR(__xludf.DUMMYFUNCTION("""COMPUTED_VALUE"""),"Protection")</f>
        <v>Protection</v>
      </c>
      <c r="C75" s="228" t="str">
        <f ca="1">IFERROR(__xludf.DUMMYFUNCTION("""COMPUTED_VALUE"""),"GBV")</f>
        <v>GBV</v>
      </c>
      <c r="D75" s="228" t="str">
        <f ca="1">IFERROR(__xludf.DUMMYFUNCTION("""COMPUTED_VALUE"""),"Humanitarian Conditions")</f>
        <v>Humanitarian Conditions</v>
      </c>
      <c r="E75" s="228" t="str">
        <f ca="1">IFERROR(__xludf.DUMMYFUNCTION("""COMPUTED_VALUE"""),"Physical and Mental Wellbeing")</f>
        <v>Physical and Mental Wellbeing</v>
      </c>
      <c r="F75" s="228" t="str">
        <f ca="1">IFERROR(__xludf.DUMMYFUNCTION("""COMPUTED_VALUE"""),"% of girls / women who avoid areas because they feel unsafe")</f>
        <v>% of girls / women who avoid areas because they feel unsafe</v>
      </c>
      <c r="G75" s="228"/>
      <c r="H75" s="228">
        <f ca="1">IFERROR(__xludf.DUMMYFUNCTION("""COMPUTED_VALUE"""),1)</f>
        <v>1</v>
      </c>
      <c r="I75" s="228" t="str">
        <f ca="1">IFERROR(__xludf.DUMMYFUNCTION("""COMPUTED_VALUE"""),"HH Survey / KI")</f>
        <v>HH Survey / KI</v>
      </c>
      <c r="J75" s="228" t="str">
        <f ca="1">IFERROR(__xludf.DUMMYFUNCTION("""COMPUTED_VALUE"""),"MSNA / Protection Monitoring")</f>
        <v>MSNA / Protection Monitoring</v>
      </c>
      <c r="K75" s="228" t="str">
        <f ca="1">IFERROR(__xludf.DUMMYFUNCTION("""COMPUTED_VALUE"""),"Women and girls do not avoid areas")</f>
        <v>Women and girls do not avoid areas</v>
      </c>
      <c r="L75" s="228" t="str">
        <f ca="1">IFERROR(__xludf.DUMMYFUNCTION("""COMPUTED_VALUE"""),"Women and girls avoid one area because they feel unsafe")</f>
        <v>Women and girls avoid one area because they feel unsafe</v>
      </c>
      <c r="M75" s="228" t="str">
        <f ca="1">IFERROR(__xludf.DUMMYFUNCTION("""COMPUTED_VALUE"""),"Women and girls avoid two areas because they feel unsafe")</f>
        <v>Women and girls avoid two areas because they feel unsafe</v>
      </c>
      <c r="N75" s="228" t="str">
        <f ca="1">IFERROR(__xludf.DUMMYFUNCTION("""COMPUTED_VALUE"""),"Women and girls avoid three areas because they feel unsafe")</f>
        <v>Women and girls avoid three areas because they feel unsafe</v>
      </c>
      <c r="O75" s="228" t="str">
        <f ca="1">IFERROR(__xludf.DUMMYFUNCTION("""COMPUTED_VALUE"""),"Women and girls avoid four or more area because they feel unsafe")</f>
        <v>Women and girls avoid four or more area because they feel unsafe</v>
      </c>
      <c r="P75" s="229"/>
      <c r="Q75" s="215"/>
      <c r="R75" s="215"/>
      <c r="S75" s="215"/>
      <c r="T75" s="216"/>
      <c r="U75" s="216"/>
    </row>
    <row r="76" spans="1:21" ht="62.5" hidden="1">
      <c r="A76" s="202">
        <f ca="1">IFERROR(__xludf.DUMMYFUNCTION("""COMPUTED_VALUE"""),71)</f>
        <v>71</v>
      </c>
      <c r="B76" s="228" t="str">
        <f ca="1">IFERROR(__xludf.DUMMYFUNCTION("""COMPUTED_VALUE"""),"Protection")</f>
        <v>Protection</v>
      </c>
      <c r="C76" s="228" t="str">
        <f ca="1">IFERROR(__xludf.DUMMYFUNCTION("""COMPUTED_VALUE"""),"GBV / CP")</f>
        <v>GBV / CP</v>
      </c>
      <c r="D76" s="228" t="str">
        <f ca="1">IFERROR(__xludf.DUMMYFUNCTION("""COMPUTED_VALUE"""),"Humanitarian Conditions")</f>
        <v>Humanitarian Conditions</v>
      </c>
      <c r="E76" s="228" t="str">
        <f ca="1">IFERROR(__xludf.DUMMYFUNCTION("""COMPUTED_VALUE"""),"Physical and Mental Wellbeing")</f>
        <v>Physical and Mental Wellbeing</v>
      </c>
      <c r="F76" s="228" t="str">
        <f ca="1">IFERROR(__xludf.DUMMYFUNCTION("""COMPUTED_VALUE"""),"% of HH reporting fear of GBV (sexual violence and forced marriage / reproduction) for girls / boys / women in the HH")</f>
        <v>% of HH reporting fear of GBV (sexual violence and forced marriage / reproduction) for girls / boys / women in the HH</v>
      </c>
      <c r="G76" s="228"/>
      <c r="H76" s="228">
        <f ca="1">IFERROR(__xludf.DUMMYFUNCTION("""COMPUTED_VALUE"""),1)</f>
        <v>1</v>
      </c>
      <c r="I76" s="228" t="str">
        <f ca="1">IFERROR(__xludf.DUMMYFUNCTION("""COMPUTED_VALUE"""),"HH Survey / KI")</f>
        <v>HH Survey / KI</v>
      </c>
      <c r="J76" s="228" t="str">
        <f ca="1">IFERROR(__xludf.DUMMYFUNCTION("""COMPUTED_VALUE"""),"MSNA / Protection Monitoring")</f>
        <v>MSNA / Protection Monitoring</v>
      </c>
      <c r="K76" s="228" t="str">
        <f ca="1">IFERROR(__xludf.DUMMYFUNCTION("""COMPUTED_VALUE"""),"&lt; 20%")</f>
        <v>&lt; 20%</v>
      </c>
      <c r="L76" s="228" t="str">
        <f ca="1">IFERROR(__xludf.DUMMYFUNCTION("""COMPUTED_VALUE"""),"20% - 30%")</f>
        <v>20% - 30%</v>
      </c>
      <c r="M76" s="228" t="str">
        <f ca="1">IFERROR(__xludf.DUMMYFUNCTION("""COMPUTED_VALUE"""),"30% - 40%")</f>
        <v>30% - 40%</v>
      </c>
      <c r="N76" s="228" t="str">
        <f ca="1">IFERROR(__xludf.DUMMYFUNCTION("""COMPUTED_VALUE"""),"40% - 50%")</f>
        <v>40% - 50%</v>
      </c>
      <c r="O76" s="228" t="str">
        <f ca="1">IFERROR(__xludf.DUMMYFUNCTION("""COMPUTED_VALUE"""),"&gt; 50%")</f>
        <v>&gt; 50%</v>
      </c>
      <c r="P76" s="229"/>
      <c r="Q76" s="215"/>
      <c r="R76" s="215"/>
      <c r="S76" s="215"/>
      <c r="T76" s="216"/>
      <c r="U76" s="216"/>
    </row>
    <row r="77" spans="1:21" ht="50" hidden="1">
      <c r="A77" s="202">
        <f ca="1">IFERROR(__xludf.DUMMYFUNCTION("""COMPUTED_VALUE"""),72)</f>
        <v>72</v>
      </c>
      <c r="B77" s="228" t="str">
        <f ca="1">IFERROR(__xludf.DUMMYFUNCTION("""COMPUTED_VALUE"""),"Protection")</f>
        <v>Protection</v>
      </c>
      <c r="C77" s="228" t="str">
        <f ca="1">IFERROR(__xludf.DUMMYFUNCTION("""COMPUTED_VALUE"""),"GBV / CP")</f>
        <v>GBV / CP</v>
      </c>
      <c r="D77" s="228" t="str">
        <f ca="1">IFERROR(__xludf.DUMMYFUNCTION("""COMPUTED_VALUE"""),"Humanitarian Conditions")</f>
        <v>Humanitarian Conditions</v>
      </c>
      <c r="E77" s="228" t="str">
        <f ca="1">IFERROR(__xludf.DUMMYFUNCTION("""COMPUTED_VALUE"""),"Physical and Mental Wellbeing")</f>
        <v>Physical and Mental Wellbeing</v>
      </c>
      <c r="F77" s="228" t="str">
        <f ca="1">IFERROR(__xludf.DUMMYFUNCTION("""COMPUTED_VALUE"""),"% of girls / boys / women at risk of GBV (sexual violence and forced marriage / reproduction)")</f>
        <v>% of girls / boys / women at risk of GBV (sexual violence and forced marriage / reproduction)</v>
      </c>
      <c r="G77" s="228"/>
      <c r="H77" s="228"/>
      <c r="I77" s="228" t="str">
        <f ca="1">IFERROR(__xludf.DUMMYFUNCTION("""COMPUTED_VALUE"""),"KI")</f>
        <v>KI</v>
      </c>
      <c r="J77" s="228" t="str">
        <f ca="1">IFERROR(__xludf.DUMMYFUNCTION("""COMPUTED_VALUE"""),"XX")</f>
        <v>XX</v>
      </c>
      <c r="K77" s="228" t="str">
        <f ca="1">IFERROR(__xludf.DUMMYFUNCTION("""COMPUTED_VALUE"""),"&lt; 20%")</f>
        <v>&lt; 20%</v>
      </c>
      <c r="L77" s="228" t="str">
        <f ca="1">IFERROR(__xludf.DUMMYFUNCTION("""COMPUTED_VALUE"""),"20% - 30%")</f>
        <v>20% - 30%</v>
      </c>
      <c r="M77" s="228" t="str">
        <f ca="1">IFERROR(__xludf.DUMMYFUNCTION("""COMPUTED_VALUE"""),"30% - 40%")</f>
        <v>30% - 40%</v>
      </c>
      <c r="N77" s="228" t="str">
        <f ca="1">IFERROR(__xludf.DUMMYFUNCTION("""COMPUTED_VALUE"""),"40% - 50%")</f>
        <v>40% - 50%</v>
      </c>
      <c r="O77" s="228" t="str">
        <f ca="1">IFERROR(__xludf.DUMMYFUNCTION("""COMPUTED_VALUE"""),"&gt; 50%")</f>
        <v>&gt; 50%</v>
      </c>
      <c r="P77" s="229"/>
      <c r="Q77" s="215"/>
      <c r="R77" s="215"/>
      <c r="S77" s="215"/>
      <c r="T77" s="216"/>
      <c r="U77" s="216"/>
    </row>
    <row r="78" spans="1:21" ht="50" hidden="1">
      <c r="A78" s="202">
        <f ca="1">IFERROR(__xludf.DUMMYFUNCTION("""COMPUTED_VALUE"""),73)</f>
        <v>73</v>
      </c>
      <c r="B78" s="228" t="str">
        <f ca="1">IFERROR(__xludf.DUMMYFUNCTION("""COMPUTED_VALUE"""),"Protection")</f>
        <v>Protection</v>
      </c>
      <c r="C78" s="228" t="str">
        <f ca="1">IFERROR(__xludf.DUMMYFUNCTION("""COMPUTED_VALUE"""),"HLP")</f>
        <v>HLP</v>
      </c>
      <c r="D78" s="228" t="str">
        <f ca="1">IFERROR(__xludf.DUMMYFUNCTION("""COMPUTED_VALUE"""),"Impact")</f>
        <v>Impact</v>
      </c>
      <c r="E78" s="228" t="str">
        <f ca="1">IFERROR(__xludf.DUMMYFUNCTION("""COMPUTED_VALUE"""),"Impact on people")</f>
        <v>Impact on people</v>
      </c>
      <c r="F78" s="228" t="str">
        <f ca="1">IFERROR(__xludf.DUMMYFUNCTION("""COMPUTED_VALUE"""),"% of HHs with housing / shelter damaged or destroyed due to violence, conflict or natural hazards")</f>
        <v>% of HHs with housing / shelter damaged or destroyed due to violence, conflict or natural hazards</v>
      </c>
      <c r="G78" s="228"/>
      <c r="H78" s="228">
        <f ca="1">IFERROR(__xludf.DUMMYFUNCTION("""COMPUTED_VALUE"""),2)</f>
        <v>2</v>
      </c>
      <c r="I78" s="228" t="str">
        <f ca="1">IFERROR(__xludf.DUMMYFUNCTION("""COMPUTED_VALUE"""),"KI")</f>
        <v>KI</v>
      </c>
      <c r="J78" s="228" t="str">
        <f ca="1">IFERROR(__xludf.DUMMYFUNCTION("""COMPUTED_VALUE"""),"UNOSAT / SDR")</f>
        <v>UNOSAT / SDR</v>
      </c>
      <c r="K78" s="228" t="str">
        <f ca="1">IFERROR(__xludf.DUMMYFUNCTION("""COMPUTED_VALUE"""),"&lt; 30%")</f>
        <v>&lt; 30%</v>
      </c>
      <c r="L78" s="228" t="str">
        <f ca="1">IFERROR(__xludf.DUMMYFUNCTION("""COMPUTED_VALUE"""),"30% - 40%")</f>
        <v>30% - 40%</v>
      </c>
      <c r="M78" s="228" t="str">
        <f ca="1">IFERROR(__xludf.DUMMYFUNCTION("""COMPUTED_VALUE"""),"40% - 55%")</f>
        <v>40% - 55%</v>
      </c>
      <c r="N78" s="228" t="str">
        <f ca="1">IFERROR(__xludf.DUMMYFUNCTION("""COMPUTED_VALUE"""),"55% - 70%")</f>
        <v>55% - 70%</v>
      </c>
      <c r="O78" s="228" t="str">
        <f ca="1">IFERROR(__xludf.DUMMYFUNCTION("""COMPUTED_VALUE"""),"&gt; 70%")</f>
        <v>&gt; 70%</v>
      </c>
      <c r="P78" s="229"/>
      <c r="Q78" s="215"/>
      <c r="R78" s="215"/>
      <c r="S78" s="215"/>
      <c r="T78" s="216"/>
      <c r="U78" s="216"/>
    </row>
    <row r="79" spans="1:21" ht="125" hidden="1">
      <c r="A79" s="202">
        <f ca="1">IFERROR(__xludf.DUMMYFUNCTION("""COMPUTED_VALUE"""),74)</f>
        <v>74</v>
      </c>
      <c r="B79" s="228" t="str">
        <f ca="1">IFERROR(__xludf.DUMMYFUNCTION("""COMPUTED_VALUE"""),"Protection")</f>
        <v>Protection</v>
      </c>
      <c r="C79" s="228" t="str">
        <f ca="1">IFERROR(__xludf.DUMMYFUNCTION("""COMPUTED_VALUE"""),"HLP")</f>
        <v>HLP</v>
      </c>
      <c r="D79" s="228" t="str">
        <f ca="1">IFERROR(__xludf.DUMMYFUNCTION("""COMPUTED_VALUE"""),"Humanitarian Conditions")</f>
        <v>Humanitarian Conditions</v>
      </c>
      <c r="E79" s="228" t="str">
        <f ca="1">IFERROR(__xludf.DUMMYFUNCTION("""COMPUTED_VALUE"""),"Living Standards")</f>
        <v>Living Standards</v>
      </c>
      <c r="F79" s="228" t="str">
        <f ca="1">IFERROR(__xludf.DUMMYFUNCTION("""COMPUTED_VALUE"""),"% of HH reporting incidents of threaths of eviction")</f>
        <v>% of HH reporting incidents of threaths of eviction</v>
      </c>
      <c r="G79" s="228"/>
      <c r="H79" s="228">
        <f ca="1">IFERROR(__xludf.DUMMYFUNCTION("""COMPUTED_VALUE"""),1)</f>
        <v>1</v>
      </c>
      <c r="I79" s="228" t="str">
        <f ca="1">IFERROR(__xludf.DUMMYFUNCTION("""COMPUTED_VALUE"""),"HH Survey / KI")</f>
        <v>HH Survey / KI</v>
      </c>
      <c r="J79" s="228" t="str">
        <f ca="1">IFERROR(__xludf.DUMMYFUNCTION("""COMPUTED_VALUE"""),"MSNA / Protection Monitoring")</f>
        <v>MSNA / Protection Monitoring</v>
      </c>
      <c r="K79" s="228" t="str">
        <f ca="1">IFERROR(__xludf.DUMMYFUNCTION("""COMPUTED_VALUE"""),"None")</f>
        <v>None</v>
      </c>
      <c r="L79" s="228" t="str">
        <f ca="1">IFERROR(__xludf.DUMMYFUNCTION("""COMPUTED_VALUE"""),"Threatened with eviction only once in the past six months, and were able to resolve (and stay) without resorting to negative coping mechanisms")</f>
        <v>Threatened with eviction only once in the past six months, and were able to resolve (and stay) without resorting to negative coping mechanisms</v>
      </c>
      <c r="M79" s="228" t="str">
        <f ca="1">IFERROR(__xludf.DUMMYFUNCTION("""COMPUTED_VALUE"""),"Threatened with eviction at least once and had to resort to negative coping mechanisms to avoid eviction
OR 
Threatened eviction more than once in the past six months but was not evicted")</f>
        <v>Threatened with eviction at least once and had to resort to negative coping mechanisms to avoid eviction
OR 
Threatened eviction more than once in the past six months but was not evicted</v>
      </c>
      <c r="N79" s="228" t="str">
        <f ca="1">IFERROR(__xludf.DUMMYFUNCTION("""COMPUTED_VALUE"""),"Forcibly evicted /departed under duress at least once in the past 6 months, but were able to find housing immediately following eviction")</f>
        <v>Forcibly evicted /departed under duress at least once in the past 6 months, but were able to find housing immediately following eviction</v>
      </c>
      <c r="O79" s="228" t="str">
        <f ca="1">IFERROR(__xludf.DUMMYFUNCTION("""COMPUTED_VALUE"""),"Forcibly evicted /departed under duress at least once in the past 6 months, and did not have their own housing for more than one week following eviction")</f>
        <v>Forcibly evicted /departed under duress at least once in the past 6 months, and did not have their own housing for more than one week following eviction</v>
      </c>
      <c r="P79" s="229"/>
      <c r="Q79" s="215"/>
      <c r="R79" s="215"/>
      <c r="S79" s="215"/>
      <c r="T79" s="216"/>
      <c r="U79" s="216"/>
    </row>
    <row r="80" spans="1:21" ht="100" hidden="1">
      <c r="A80" s="202">
        <f ca="1">IFERROR(__xludf.DUMMYFUNCTION("""COMPUTED_VALUE"""),75)</f>
        <v>75</v>
      </c>
      <c r="B80" s="228" t="str">
        <f ca="1">IFERROR(__xludf.DUMMYFUNCTION("""COMPUTED_VALUE"""),"Protection")</f>
        <v>Protection</v>
      </c>
      <c r="C80" s="228" t="str">
        <f ca="1">IFERROR(__xludf.DUMMYFUNCTION("""COMPUTED_VALUE"""),"HLP")</f>
        <v>HLP</v>
      </c>
      <c r="D80" s="228" t="str">
        <f ca="1">IFERROR(__xludf.DUMMYFUNCTION("""COMPUTED_VALUE"""),"Humanitarian Conditions")</f>
        <v>Humanitarian Conditions</v>
      </c>
      <c r="E80" s="228" t="str">
        <f ca="1">IFERROR(__xludf.DUMMYFUNCTION("""COMPUTED_VALUE"""),"Living Standards")</f>
        <v>Living Standards</v>
      </c>
      <c r="F80" s="228" t="str">
        <f ca="1">IFERROR(__xludf.DUMMYFUNCTION("""COMPUTED_VALUE"""),"% of household reporting HLP disputes")</f>
        <v>% of household reporting HLP disputes</v>
      </c>
      <c r="G80" s="228"/>
      <c r="H80" s="228">
        <f ca="1">IFERROR(__xludf.DUMMYFUNCTION("""COMPUTED_VALUE"""),1)</f>
        <v>1</v>
      </c>
      <c r="I80" s="228" t="str">
        <f ca="1">IFERROR(__xludf.DUMMYFUNCTION("""COMPUTED_VALUE"""),"HH Survey / KI")</f>
        <v>HH Survey / KI</v>
      </c>
      <c r="J80" s="228" t="str">
        <f ca="1">IFERROR(__xludf.DUMMYFUNCTION("""COMPUTED_VALUE"""),"MSNA / Protection Monitoring")</f>
        <v>MSNA / Protection Monitoring</v>
      </c>
      <c r="K80" s="228" t="str">
        <f ca="1">IFERROR(__xludf.DUMMYFUNCTION("""COMPUTED_VALUE"""),"No disputes reported
Or dispute reported, but they are confident that they will be able to resolve directly with other party without intervention")</f>
        <v>No disputes reported
Or dispute reported, but they are confident that they will be able to resolve directly with other party without intervention</v>
      </c>
      <c r="L80" s="228" t="str">
        <f ca="1">IFERROR(__xludf.DUMMYFUNCTION("""COMPUTED_VALUE"""),"Dispute reported, but generally confident that they will be able to come to fair resolution with the support of a local governance institution")</f>
        <v>Dispute reported, but generally confident that they will be able to come to fair resolution with the support of a local governance institution</v>
      </c>
      <c r="M80" s="228" t="str">
        <f ca="1">IFERROR(__xludf.DUMMYFUNCTION("""COMPUTED_VALUE"""),"Dispute reported - lack confidence that they will be able to get fair resolution with support of a local governance institutions (either because of access or lack of trust)")</f>
        <v>Dispute reported - lack confidence that they will be able to get fair resolution with support of a local governance institutions (either because of access or lack of trust)</v>
      </c>
      <c r="N80" s="228" t="str">
        <f ca="1">IFERROR(__xludf.DUMMYFUNCTION("""COMPUTED_VALUE"""),"Dispute reported with threats of violence - no confidence they will be able to resolve")</f>
        <v>Dispute reported with threats of violence - no confidence they will be able to resolve</v>
      </c>
      <c r="O80" s="228" t="str">
        <f ca="1">IFERROR(__xludf.DUMMYFUNCTION("""COMPUTED_VALUE"""),"Dispute reported - violence, displacement, etc, has taken place")</f>
        <v>Dispute reported - violence, displacement, etc, has taken place</v>
      </c>
      <c r="P80" s="229"/>
      <c r="Q80" s="215"/>
      <c r="R80" s="215"/>
      <c r="S80" s="215"/>
      <c r="T80" s="216"/>
      <c r="U80" s="216"/>
    </row>
    <row r="81" spans="1:21" ht="409.5" hidden="1">
      <c r="A81" s="202">
        <f ca="1">IFERROR(__xludf.DUMMYFUNCTION("""COMPUTED_VALUE"""),76)</f>
        <v>76</v>
      </c>
      <c r="B81" s="228" t="str">
        <f ca="1">IFERROR(__xludf.DUMMYFUNCTION("""COMPUTED_VALUE"""),"Protection")</f>
        <v>Protection</v>
      </c>
      <c r="C81" s="228" t="str">
        <f ca="1">IFERROR(__xludf.DUMMYFUNCTION("""COMPUTED_VALUE"""),"HLP")</f>
        <v>HLP</v>
      </c>
      <c r="D81" s="228" t="str">
        <f ca="1">IFERROR(__xludf.DUMMYFUNCTION("""COMPUTED_VALUE"""),"Humanitarian Conditions")</f>
        <v>Humanitarian Conditions</v>
      </c>
      <c r="E81" s="228" t="str">
        <f ca="1">IFERROR(__xludf.DUMMYFUNCTION("""COMPUTED_VALUE"""),"Living Standards")</f>
        <v>Living Standards</v>
      </c>
      <c r="F81" s="228" t="str">
        <f ca="1">IFERROR(__xludf.DUMMYFUNCTION("""COMPUTED_VALUE"""),"% of households accessing their housing/shelter with security of tenure")</f>
        <v>% of households accessing their housing/shelter with security of tenure</v>
      </c>
      <c r="G81" s="228"/>
      <c r="H81" s="228">
        <f ca="1">IFERROR(__xludf.DUMMYFUNCTION("""COMPUTED_VALUE"""),1)</f>
        <v>1</v>
      </c>
      <c r="I81" s="230" t="str">
        <f ca="1">IFERROR(__xludf.DUMMYFUNCTION("""COMPUTED_VALUE"""),"HH Survey / KI")</f>
        <v>HH Survey / KI</v>
      </c>
      <c r="J81" s="230" t="str">
        <f ca="1">IFERROR(__xludf.DUMMYFUNCTION("""COMPUTED_VALUE"""),"MSNA / Protection Monitoring")</f>
        <v>MSNA / Protection Monitoring</v>
      </c>
      <c r="K81" s="230" t="str">
        <f ca="1">IFERROR(__xludf.DUMMYFUNCTION("""COMPUTED_VALUE"""),"Owner of their house, with offical documentation in their name, and No risk of eviction")</f>
        <v>Owner of their house, with offical documentation in their name, and No risk of eviction</v>
      </c>
      <c r="L81" s="230" t="str">
        <f ca="1">IFERROR(__xludf.DUMMYFUNCTION("""COMPUTED_VALUE"""),"Owner of the house with no official documentation in their name but feels like their tenure is secure
OR
Renter of house with written contract, can renew contract if desired AND No risk of eviction
OR
Shelter granted by organisations/authorities with perm"&amp;"ission AND able to stay as long as needed/no risk of eviction
OR
Granted by relatives/family with permission AND able to stay as long as needed/no risk of eviction")</f>
        <v>Owner of the house with no official documentation in their name but feels like their tenure is secure
OR
Renter of house with written contract, can renew contract if desired AND No risk of eviction
OR
Shelter granted by organisations/authorities with permission AND able to stay as long as needed/no risk of eviction
OR
Granted by relatives/family with permission AND able to stay as long as needed/no risk of eviction</v>
      </c>
      <c r="M81" s="230" t="str">
        <f ca="1">IFERROR(__xludf.DUMMYFUNCTION("""COMPUTED_VALUE"""),"Owner of the house with or without document but feel like their tenure is not assured (risk to tenure is non-specific, just general lack of confidence)
OR
Renter without contract, but no apparent risk of eviction
OR
Granted by organisations/authorities wi"&amp;"th permission but stay is limited to a six month to a year term but no risk of eviction at the moment
OR
Granted by relatives/family with permission AND but stay is limited to a defined six month to a year term, but no risk of eviction at the moment
OR
Sq"&amp;"uatting without permission but no apparent risk of eviction at the moment
")</f>
        <v xml:space="preserve">Owner of the house with or without document but feel like their tenure is not assured (risk to tenure is non-specific, just general lack of confidence)
OR
Renter without contract, but no apparent risk of eviction
OR
Granted by organisations/authorities with permission but stay is limited to a six month to a year term but no risk of eviction at the moment
OR
Granted by relatives/family with permission AND but stay is limited to a defined six month to a year term, but no risk of eviction at the moment
OR
Squatting without permission but no apparent risk of eviction at the moment
</v>
      </c>
      <c r="N81" s="230" t="str">
        <f ca="1">IFERROR(__xludf.DUMMYFUNCTION("""COMPUTED_VALUE"""),"Owner of the house with or without document but feel like their tenure is not assured (specific threat to tenure)
OR
Renter with or without rental contract, but will need to leave within 6 months even if they would prefer to stay
OR
Housing/Shelter grante"&amp;"d by organisations/authorities with permission, but will need to leave within 6 months even if they would like to stay
OR
Housing/Shelter granted by relatives/family with permission, but will need to leave within 6 months even if they would like to stay
O"&amp;"R
Squatting without permission, but will need to leave within 6 months even if they would like to stay")</f>
        <v>Owner of the house with or without document but feel like their tenure is not assured (specific threat to tenure)
OR
Renter with or without rental contract, but will need to leave within 6 months even if they would prefer to stay
OR
Housing/Shelter granted by organisations/authorities with permission, but will need to leave within 6 months even if they would like to stay
OR
Housing/Shelter granted by relatives/family with permission, but will need to leave within 6 months even if they would like to stay
OR
Squatting without permission, but will need to leave within 6 months even if they would like to stay</v>
      </c>
      <c r="O81" s="230" t="str">
        <f ca="1">IFERROR(__xludf.DUMMYFUNCTION("""COMPUTED_VALUE"""),"Owner of the house with or without document but feel explusion is imminent (under 3 months)
OR
Renter with or without rental contract, but eviction/departure under duress is imminent (under 3 months)
OR
Housing/Shelter granted by organisations/authorities"&amp;" with permission, but eviction/departure under duress is imminent (under 3 months)
OR
Housing/Shelter granted by relatives/family with permission, but eviction/departure under duress is imminent (under 3 months)
OR
Squatting without permission, but evicti"&amp;"on/departure under duress is imminent (under 3 months)")</f>
        <v>Owner of the house with or without document but feel explusion is imminent (under 3 months)
OR
Renter with or without rental contract, but eviction/departure under duress is imminent (under 3 months)
OR
Housing/Shelter granted by organisations/authorities with permission, but eviction/departure under duress is imminent (under 3 months)
OR
Housing/Shelter granted by relatives/family with permission, but eviction/departure under duress is imminent (under 3 months)
OR
Squatting without permission, but eviction/departure under duress is imminent (under 3 months)</v>
      </c>
      <c r="P81" s="229"/>
      <c r="Q81" s="215"/>
      <c r="R81" s="215"/>
      <c r="S81" s="215"/>
      <c r="T81" s="216"/>
      <c r="U81" s="216"/>
    </row>
    <row r="82" spans="1:21" ht="87.5" hidden="1">
      <c r="A82" s="202">
        <f ca="1">IFERROR(__xludf.DUMMYFUNCTION("""COMPUTED_VALUE"""),77)</f>
        <v>77</v>
      </c>
      <c r="B82" s="228" t="str">
        <f ca="1">IFERROR(__xludf.DUMMYFUNCTION("""COMPUTED_VALUE"""),"Protection")</f>
        <v>Protection</v>
      </c>
      <c r="C82" s="228" t="str">
        <f ca="1">IFERROR(__xludf.DUMMYFUNCTION("""COMPUTED_VALUE"""),"HLP / MA")</f>
        <v>HLP / MA</v>
      </c>
      <c r="D82" s="228" t="str">
        <f ca="1">IFERROR(__xludf.DUMMYFUNCTION("""COMPUTED_VALUE"""),"Humanitarian Conditions")</f>
        <v>Humanitarian Conditions</v>
      </c>
      <c r="E82" s="228" t="str">
        <f ca="1">IFERROR(__xludf.DUMMYFUNCTION("""COMPUTED_VALUE"""),"Living Standards")</f>
        <v>Living Standards</v>
      </c>
      <c r="F82" s="228" t="str">
        <f ca="1">IFERROR(__xludf.DUMMYFUNCTION("""COMPUTED_VALUE"""),"% of households without access to land or resources for their livelihoods")</f>
        <v>% of households without access to land or resources for their livelihoods</v>
      </c>
      <c r="G82" s="228"/>
      <c r="H82" s="228">
        <f ca="1">IFERROR(__xludf.DUMMYFUNCTION("""COMPUTED_VALUE"""),1)</f>
        <v>1</v>
      </c>
      <c r="I82" s="228" t="str">
        <f ca="1">IFERROR(__xludf.DUMMYFUNCTION("""COMPUTED_VALUE"""),"HH Survey / KI")</f>
        <v>HH Survey / KI</v>
      </c>
      <c r="J82" s="228" t="str">
        <f ca="1">IFERROR(__xludf.DUMMYFUNCTION("""COMPUTED_VALUE"""),"MSNA / Protection Monitoring")</f>
        <v>MSNA / Protection Monitoring</v>
      </c>
      <c r="K82" s="228" t="str">
        <f ca="1">IFERROR(__xludf.DUMMYFUNCTION("""COMPUTED_VALUE"""),"Access with confidence of long term usage (adapt to context and livelihood type) without infringement")</f>
        <v>Access with confidence of long term usage (adapt to context and livelihood type) without infringement</v>
      </c>
      <c r="L82" s="228" t="str">
        <f ca="1">IFERROR(__xludf.DUMMYFUNCTION("""COMPUTED_VALUE"""),"Access for defined short term period of time (adapt to context and livelihood type). Confident that access and use during that time will be uninfringed")</f>
        <v>Access for defined short term period of time (adapt to context and livelihood type). Confident that access and use during that time will be uninfringed</v>
      </c>
      <c r="M82" s="228" t="str">
        <f ca="1">IFERROR(__xludf.DUMMYFUNCTION("""COMPUTED_VALUE"""),"Access with limited confidence on ability to use for any continous period of time - percieve potential risk of infringement")</f>
        <v>Access with limited confidence on ability to use for any continous period of time - percieve potential risk of infringement</v>
      </c>
      <c r="N82" s="228" t="str">
        <f ca="1">IFERROR(__xludf.DUMMYFUNCTION("""COMPUTED_VALUE"""),"Access or use explicitly threatened by another party - loss of access imminent (before a harvest, or before new pasture can be found)")</f>
        <v>Access or use explicitly threatened by another party - loss of access imminent (before a harvest, or before new pasture can be found)</v>
      </c>
      <c r="O82" s="228" t="str">
        <f ca="1">IFERROR(__xludf.DUMMYFUNCTION("""COMPUTED_VALUE"""),"Access or use impeded to land or resource or evidence that livelihood resource acutally damaged or destroyed")</f>
        <v>Access or use impeded to land or resource or evidence that livelihood resource acutally damaged or destroyed</v>
      </c>
      <c r="P82" s="229"/>
      <c r="Q82" s="215"/>
      <c r="R82" s="215"/>
      <c r="S82" s="215"/>
      <c r="T82" s="216"/>
      <c r="U82" s="216"/>
    </row>
    <row r="83" spans="1:21" ht="50" hidden="1">
      <c r="A83" s="202">
        <f ca="1">IFERROR(__xludf.DUMMYFUNCTION("""COMPUTED_VALUE"""),78)</f>
        <v>78</v>
      </c>
      <c r="B83" s="228" t="str">
        <f ca="1">IFERROR(__xludf.DUMMYFUNCTION("""COMPUTED_VALUE"""),"Protection")</f>
        <v>Protection</v>
      </c>
      <c r="C83" s="228" t="str">
        <f ca="1">IFERROR(__xludf.DUMMYFUNCTION("""COMPUTED_VALUE"""),"MA")</f>
        <v>MA</v>
      </c>
      <c r="D83" s="228" t="str">
        <f ca="1">IFERROR(__xludf.DUMMYFUNCTION("""COMPUTED_VALUE"""),"Humanitarian Conditions")</f>
        <v>Humanitarian Conditions</v>
      </c>
      <c r="E83" s="228" t="str">
        <f ca="1">IFERROR(__xludf.DUMMYFUNCTION("""COMPUTED_VALUE"""),"Living Standards")</f>
        <v>Living Standards</v>
      </c>
      <c r="F83" s="228" t="str">
        <f ca="1">IFERROR(__xludf.DUMMYFUNCTION("""COMPUTED_VALUE"""),"% of persons (SADD) in sites/communities reporting presence of EO without access to risk education")</f>
        <v>% of persons (SADD) in sites/communities reporting presence of EO without access to risk education</v>
      </c>
      <c r="G83" s="228"/>
      <c r="H83" s="228">
        <f ca="1">IFERROR(__xludf.DUMMYFUNCTION("""COMPUTED_VALUE"""),1)</f>
        <v>1</v>
      </c>
      <c r="I83" s="228" t="str">
        <f ca="1">IFERROR(__xludf.DUMMYFUNCTION("""COMPUTED_VALUE"""),"KI")</f>
        <v>KI</v>
      </c>
      <c r="J83" s="228" t="str">
        <f ca="1">IFERROR(__xludf.DUMMYFUNCTION("""COMPUTED_VALUE"""),"Protection Monitoring / Service mapping")</f>
        <v>Protection Monitoring / Service mapping</v>
      </c>
      <c r="K83" s="228" t="str">
        <f ca="1">IFERROR(__xludf.DUMMYFUNCTION("""COMPUTED_VALUE"""),"&lt; 20%")</f>
        <v>&lt; 20%</v>
      </c>
      <c r="L83" s="228" t="str">
        <f ca="1">IFERROR(__xludf.DUMMYFUNCTION("""COMPUTED_VALUE"""),"20% - 30%")</f>
        <v>20% - 30%</v>
      </c>
      <c r="M83" s="228" t="str">
        <f ca="1">IFERROR(__xludf.DUMMYFUNCTION("""COMPUTED_VALUE"""),"30% - 40%")</f>
        <v>30% - 40%</v>
      </c>
      <c r="N83" s="228" t="str">
        <f ca="1">IFERROR(__xludf.DUMMYFUNCTION("""COMPUTED_VALUE"""),"40% - 50%")</f>
        <v>40% - 50%</v>
      </c>
      <c r="O83" s="228" t="str">
        <f ca="1">IFERROR(__xludf.DUMMYFUNCTION("""COMPUTED_VALUE"""),"&gt; 50%")</f>
        <v>&gt; 50%</v>
      </c>
      <c r="P83" s="229"/>
      <c r="Q83" s="215"/>
      <c r="R83" s="215"/>
      <c r="S83" s="215"/>
      <c r="T83" s="216"/>
      <c r="U83" s="216"/>
    </row>
    <row r="84" spans="1:21" ht="50" hidden="1">
      <c r="A84" s="202">
        <f ca="1">IFERROR(__xludf.DUMMYFUNCTION("""COMPUTED_VALUE"""),79)</f>
        <v>79</v>
      </c>
      <c r="B84" s="228" t="str">
        <f ca="1">IFERROR(__xludf.DUMMYFUNCTION("""COMPUTED_VALUE"""),"Protection")</f>
        <v>Protection</v>
      </c>
      <c r="C84" s="228" t="str">
        <f ca="1">IFERROR(__xludf.DUMMYFUNCTION("""COMPUTED_VALUE"""),"MA")</f>
        <v>MA</v>
      </c>
      <c r="D84" s="228" t="str">
        <f ca="1">IFERROR(__xludf.DUMMYFUNCTION("""COMPUTED_VALUE"""),"Humanitarian Conditions")</f>
        <v>Humanitarian Conditions</v>
      </c>
      <c r="E84" s="228" t="str">
        <f ca="1">IFERROR(__xludf.DUMMYFUNCTION("""COMPUTED_VALUE"""),"Living Standards")</f>
        <v>Living Standards</v>
      </c>
      <c r="F84" s="228" t="str">
        <f ca="1">IFERROR(__xludf.DUMMYFUNCTION("""COMPUTED_VALUE"""),"% of persons (SADD) who have reduced access to land, resources or livelihood due to EO contamination")</f>
        <v>% of persons (SADD) who have reduced access to land, resources or livelihood due to EO contamination</v>
      </c>
      <c r="G84" s="228"/>
      <c r="H84" s="228">
        <f ca="1">IFERROR(__xludf.DUMMYFUNCTION("""COMPUTED_VALUE"""),2)</f>
        <v>2</v>
      </c>
      <c r="I84" s="228" t="str">
        <f ca="1">IFERROR(__xludf.DUMMYFUNCTION("""COMPUTED_VALUE"""),"HH Survey / KI")</f>
        <v>HH Survey / KI</v>
      </c>
      <c r="J84" s="228" t="str">
        <f ca="1">IFERROR(__xludf.DUMMYFUNCTION("""COMPUTED_VALUE"""),"MSNA / Protection Monitoring")</f>
        <v>MSNA / Protection Monitoring</v>
      </c>
      <c r="K84" s="228" t="str">
        <f ca="1">IFERROR(__xludf.DUMMYFUNCTION("""COMPUTED_VALUE"""),"&lt; 20%")</f>
        <v>&lt; 20%</v>
      </c>
      <c r="L84" s="228" t="str">
        <f ca="1">IFERROR(__xludf.DUMMYFUNCTION("""COMPUTED_VALUE"""),"20-40%")</f>
        <v>20-40%</v>
      </c>
      <c r="M84" s="228" t="str">
        <f ca="1">IFERROR(__xludf.DUMMYFUNCTION("""COMPUTED_VALUE"""),"40-60%")</f>
        <v>40-60%</v>
      </c>
      <c r="N84" s="228" t="str">
        <f ca="1">IFERROR(__xludf.DUMMYFUNCTION("""COMPUTED_VALUE"""),"60-80%")</f>
        <v>60-80%</v>
      </c>
      <c r="O84" s="228" t="str">
        <f ca="1">IFERROR(__xludf.DUMMYFUNCTION("""COMPUTED_VALUE"""),"80% &gt;")</f>
        <v>80% &gt;</v>
      </c>
      <c r="P84" s="229"/>
      <c r="Q84" s="215"/>
      <c r="R84" s="215"/>
      <c r="S84" s="215"/>
      <c r="T84" s="216"/>
      <c r="U84" s="216"/>
    </row>
    <row r="85" spans="1:21" ht="50" hidden="1">
      <c r="A85" s="202">
        <f ca="1">IFERROR(__xludf.DUMMYFUNCTION("""COMPUTED_VALUE"""),80)</f>
        <v>80</v>
      </c>
      <c r="B85" s="228" t="str">
        <f ca="1">IFERROR(__xludf.DUMMYFUNCTION("""COMPUTED_VALUE"""),"Protection")</f>
        <v>Protection</v>
      </c>
      <c r="C85" s="228" t="str">
        <f ca="1">IFERROR(__xludf.DUMMYFUNCTION("""COMPUTED_VALUE"""),"MA")</f>
        <v>MA</v>
      </c>
      <c r="D85" s="228" t="str">
        <f ca="1">IFERROR(__xludf.DUMMYFUNCTION("""COMPUTED_VALUE"""),"Humanitarian Conditions")</f>
        <v>Humanitarian Conditions</v>
      </c>
      <c r="E85" s="228" t="str">
        <f ca="1">IFERROR(__xludf.DUMMYFUNCTION("""COMPUTED_VALUE"""),"Living Standards")</f>
        <v>Living Standards</v>
      </c>
      <c r="F85" s="228" t="str">
        <f ca="1">IFERROR(__xludf.DUMMYFUNCTION("""COMPUTED_VALUE"""),"% of persons (SADD) without access to core Victims Assistance services by community")</f>
        <v>% of persons (SADD) without access to core Victims Assistance services by community</v>
      </c>
      <c r="G85" s="228"/>
      <c r="H85" s="228">
        <f ca="1">IFERROR(__xludf.DUMMYFUNCTION("""COMPUTED_VALUE"""),2)</f>
        <v>2</v>
      </c>
      <c r="I85" s="228" t="str">
        <f ca="1">IFERROR(__xludf.DUMMYFUNCTION("""COMPUTED_VALUE"""),"KI")</f>
        <v>KI</v>
      </c>
      <c r="J85" s="228" t="str">
        <f ca="1">IFERROR(__xludf.DUMMYFUNCTION("""COMPUTED_VALUE"""),"Protection Monitoring / Service mapping")</f>
        <v>Protection Monitoring / Service mapping</v>
      </c>
      <c r="K85" s="228" t="str">
        <f ca="1">IFERROR(__xludf.DUMMYFUNCTION("""COMPUTED_VALUE"""),"&lt; 20%")</f>
        <v>&lt; 20%</v>
      </c>
      <c r="L85" s="228" t="str">
        <f ca="1">IFERROR(__xludf.DUMMYFUNCTION("""COMPUTED_VALUE"""),"20% - 30%")</f>
        <v>20% - 30%</v>
      </c>
      <c r="M85" s="228" t="str">
        <f ca="1">IFERROR(__xludf.DUMMYFUNCTION("""COMPUTED_VALUE"""),"30% - 40%")</f>
        <v>30% - 40%</v>
      </c>
      <c r="N85" s="228" t="str">
        <f ca="1">IFERROR(__xludf.DUMMYFUNCTION("""COMPUTED_VALUE"""),"40% - 50%")</f>
        <v>40% - 50%</v>
      </c>
      <c r="O85" s="228" t="str">
        <f ca="1">IFERROR(__xludf.DUMMYFUNCTION("""COMPUTED_VALUE"""),"&gt; 50%")</f>
        <v>&gt; 50%</v>
      </c>
      <c r="P85" s="229"/>
      <c r="Q85" s="215"/>
      <c r="R85" s="215"/>
      <c r="S85" s="215"/>
      <c r="T85" s="216"/>
      <c r="U85" s="216"/>
    </row>
    <row r="86" spans="1:21" ht="37.5" hidden="1">
      <c r="A86" s="202">
        <f ca="1">IFERROR(__xludf.DUMMYFUNCTION("""COMPUTED_VALUE"""),81)</f>
        <v>81</v>
      </c>
      <c r="B86" s="228" t="str">
        <f ca="1">IFERROR(__xludf.DUMMYFUNCTION("""COMPUTED_VALUE"""),"Protection")</f>
        <v>Protection</v>
      </c>
      <c r="C86" s="228" t="str">
        <f ca="1">IFERROR(__xludf.DUMMYFUNCTION("""COMPUTED_VALUE"""),"MA")</f>
        <v>MA</v>
      </c>
      <c r="D86" s="228" t="str">
        <f ca="1">IFERROR(__xludf.DUMMYFUNCTION("""COMPUTED_VALUE"""),"Humanitarian Conditions")</f>
        <v>Humanitarian Conditions</v>
      </c>
      <c r="E86" s="228" t="str">
        <f ca="1">IFERROR(__xludf.DUMMYFUNCTION("""COMPUTED_VALUE"""),"Physical and Mental Wellbeing")</f>
        <v>Physical and Mental Wellbeing</v>
      </c>
      <c r="F86" s="228" t="str">
        <f ca="1">IFERROR(__xludf.DUMMYFUNCTION("""COMPUTED_VALUE"""),"Persons killed or injured by EO by community (SADD)")</f>
        <v>Persons killed or injured by EO by community (SADD)</v>
      </c>
      <c r="G86" s="228"/>
      <c r="H86" s="228">
        <f ca="1">IFERROR(__xludf.DUMMYFUNCTION("""COMPUTED_VALUE"""),1)</f>
        <v>1</v>
      </c>
      <c r="I86" s="228" t="str">
        <f ca="1">IFERROR(__xludf.DUMMYFUNCTION("""COMPUTED_VALUE"""),"KI")</f>
        <v>KI</v>
      </c>
      <c r="J86" s="228" t="str">
        <f ca="1">IFERROR(__xludf.DUMMYFUNCTION("""COMPUTED_VALUE"""),"MA IM Systems")</f>
        <v>MA IM Systems</v>
      </c>
      <c r="K86" s="228"/>
      <c r="L86" s="228"/>
      <c r="M86" s="228"/>
      <c r="N86" s="228"/>
      <c r="O86" s="228"/>
      <c r="P86" s="229"/>
      <c r="Q86" s="215"/>
      <c r="R86" s="215"/>
      <c r="S86" s="215"/>
      <c r="T86" s="216"/>
      <c r="U86" s="216"/>
    </row>
    <row r="87" spans="1:21" ht="37.5" hidden="1">
      <c r="A87" s="202">
        <f ca="1">IFERROR(__xludf.DUMMYFUNCTION("""COMPUTED_VALUE"""),82)</f>
        <v>82</v>
      </c>
      <c r="B87" s="228" t="str">
        <f ca="1">IFERROR(__xludf.DUMMYFUNCTION("""COMPUTED_VALUE"""),"Protection")</f>
        <v>Protection</v>
      </c>
      <c r="C87" s="228" t="str">
        <f ca="1">IFERROR(__xludf.DUMMYFUNCTION("""COMPUTED_VALUE"""),"MA")</f>
        <v>MA</v>
      </c>
      <c r="D87" s="228" t="str">
        <f ca="1">IFERROR(__xludf.DUMMYFUNCTION("""COMPUTED_VALUE"""),"Humanitarian Conditions")</f>
        <v>Humanitarian Conditions</v>
      </c>
      <c r="E87" s="228" t="str">
        <f ca="1">IFERROR(__xludf.DUMMYFUNCTION("""COMPUTED_VALUE"""),"Physical and Mental Wellbeing")</f>
        <v>Physical and Mental Wellbeing</v>
      </c>
      <c r="F87" s="228" t="str">
        <f ca="1">IFERROR(__xludf.DUMMYFUNCTION("""COMPUTED_VALUE"""),"Persons living or returning to areas with EO contamination (SADD)")</f>
        <v>Persons living or returning to areas with EO contamination (SADD)</v>
      </c>
      <c r="G87" s="228"/>
      <c r="H87" s="228">
        <f ca="1">IFERROR(__xludf.DUMMYFUNCTION("""COMPUTED_VALUE"""),1)</f>
        <v>1</v>
      </c>
      <c r="I87" s="228" t="str">
        <f ca="1">IFERROR(__xludf.DUMMYFUNCTION("""COMPUTED_VALUE"""),"KI")</f>
        <v>KI</v>
      </c>
      <c r="J87" s="228" t="str">
        <f ca="1">IFERROR(__xludf.DUMMYFUNCTION("""COMPUTED_VALUE"""),"MA IM Systems")</f>
        <v>MA IM Systems</v>
      </c>
      <c r="K87" s="228" t="str">
        <f ca="1">IFERROR(__xludf.DUMMYFUNCTION("""COMPUTED_VALUE"""),"&lt;5%")</f>
        <v>&lt;5%</v>
      </c>
      <c r="L87" s="228" t="str">
        <f ca="1">IFERROR(__xludf.DUMMYFUNCTION("""COMPUTED_VALUE"""),"5-10%")</f>
        <v>5-10%</v>
      </c>
      <c r="M87" s="228" t="str">
        <f ca="1">IFERROR(__xludf.DUMMYFUNCTION("""COMPUTED_VALUE"""),"11 to 20 %")</f>
        <v>11 to 20 %</v>
      </c>
      <c r="N87" s="228" t="str">
        <f ca="1">IFERROR(__xludf.DUMMYFUNCTION("""COMPUTED_VALUE"""),"21-30 %")</f>
        <v>21-30 %</v>
      </c>
      <c r="O87" s="228" t="str">
        <f ca="1">IFERROR(__xludf.DUMMYFUNCTION("""COMPUTED_VALUE"""),"Above 30 %")</f>
        <v>Above 30 %</v>
      </c>
      <c r="P87" s="229"/>
      <c r="Q87" s="215"/>
      <c r="R87" s="215"/>
      <c r="S87" s="215"/>
      <c r="T87" s="216"/>
      <c r="U87" s="216"/>
    </row>
    <row r="88" spans="1:21" ht="37.5" hidden="1">
      <c r="A88" s="202">
        <f ca="1">IFERROR(__xludf.DUMMYFUNCTION("""COMPUTED_VALUE"""),83)</f>
        <v>83</v>
      </c>
      <c r="B88" s="228" t="str">
        <f ca="1">IFERROR(__xludf.DUMMYFUNCTION("""COMPUTED_VALUE"""),"Protection")</f>
        <v>Protection</v>
      </c>
      <c r="C88" s="228" t="str">
        <f ca="1">IFERROR(__xludf.DUMMYFUNCTION("""COMPUTED_VALUE"""),"MA")</f>
        <v>MA</v>
      </c>
      <c r="D88" s="228" t="str">
        <f ca="1">IFERROR(__xludf.DUMMYFUNCTION("""COMPUTED_VALUE"""),"Humanitarian Conditions")</f>
        <v>Humanitarian Conditions</v>
      </c>
      <c r="E88" s="228" t="str">
        <f ca="1">IFERROR(__xludf.DUMMYFUNCTION("""COMPUTED_VALUE"""),"Physical and Mental Wellbeing")</f>
        <v>Physical and Mental Wellbeing</v>
      </c>
      <c r="F88" s="228" t="str">
        <f ca="1">IFERROR(__xludf.DUMMYFUNCTION("""COMPUTED_VALUE"""),"% of persons (SADD) fearing presence of EO")</f>
        <v>% of persons (SADD) fearing presence of EO</v>
      </c>
      <c r="G88" s="228"/>
      <c r="H88" s="228">
        <f ca="1">IFERROR(__xludf.DUMMYFUNCTION("""COMPUTED_VALUE"""),2)</f>
        <v>2</v>
      </c>
      <c r="I88" s="228" t="str">
        <f ca="1">IFERROR(__xludf.DUMMYFUNCTION("""COMPUTED_VALUE"""),"HH Survey / KI")</f>
        <v>HH Survey / KI</v>
      </c>
      <c r="J88" s="228" t="str">
        <f ca="1">IFERROR(__xludf.DUMMYFUNCTION("""COMPUTED_VALUE"""),"MSNA / Protection Monitoring")</f>
        <v>MSNA / Protection Monitoring</v>
      </c>
      <c r="K88" s="228" t="str">
        <f ca="1">IFERROR(__xludf.DUMMYFUNCTION("""COMPUTED_VALUE"""),"&lt;5%")</f>
        <v>&lt;5%</v>
      </c>
      <c r="L88" s="228" t="str">
        <f ca="1">IFERROR(__xludf.DUMMYFUNCTION("""COMPUTED_VALUE"""),"5-10%")</f>
        <v>5-10%</v>
      </c>
      <c r="M88" s="228" t="str">
        <f ca="1">IFERROR(__xludf.DUMMYFUNCTION("""COMPUTED_VALUE"""),"11 to 20 %")</f>
        <v>11 to 20 %</v>
      </c>
      <c r="N88" s="228" t="str">
        <f ca="1">IFERROR(__xludf.DUMMYFUNCTION("""COMPUTED_VALUE"""),"21-30 %")</f>
        <v>21-30 %</v>
      </c>
      <c r="O88" s="228" t="str">
        <f ca="1">IFERROR(__xludf.DUMMYFUNCTION("""COMPUTED_VALUE"""),"Above 30 %")</f>
        <v>Above 30 %</v>
      </c>
      <c r="P88" s="229"/>
      <c r="Q88" s="215"/>
      <c r="R88" s="215"/>
      <c r="S88" s="215"/>
      <c r="T88" s="216"/>
      <c r="U88" s="216"/>
    </row>
    <row r="89" spans="1:21" ht="62.5" hidden="1">
      <c r="A89" s="202">
        <f ca="1">IFERROR(__xludf.DUMMYFUNCTION("""COMPUTED_VALUE"""),84)</f>
        <v>84</v>
      </c>
      <c r="B89" s="228" t="str">
        <f ca="1">IFERROR(__xludf.DUMMYFUNCTION("""COMPUTED_VALUE"""),"Protection")</f>
        <v>Protection</v>
      </c>
      <c r="C89" s="228" t="str">
        <f ca="1">IFERROR(__xludf.DUMMYFUNCTION("""COMPUTED_VALUE"""),"MA")</f>
        <v>MA</v>
      </c>
      <c r="D89" s="228" t="str">
        <f ca="1">IFERROR(__xludf.DUMMYFUNCTION("""COMPUTED_VALUE"""),"Humanitarian Conditions")</f>
        <v>Humanitarian Conditions</v>
      </c>
      <c r="E89" s="228" t="str">
        <f ca="1">IFERROR(__xludf.DUMMYFUNCTION("""COMPUTED_VALUE"""),"Physical and Mental Wellbeing")</f>
        <v>Physical and Mental Wellbeing</v>
      </c>
      <c r="F89" s="228" t="str">
        <f ca="1">IFERROR(__xludf.DUMMYFUNCTION("""COMPUTED_VALUE"""),"% of persons whose disability is related to an explosive hazard by community (SADD)")</f>
        <v>% of persons whose disability is related to an explosive hazard by community (SADD)</v>
      </c>
      <c r="G89" s="228"/>
      <c r="H89" s="228">
        <f ca="1">IFERROR(__xludf.DUMMYFUNCTION("""COMPUTED_VALUE"""),1)</f>
        <v>1</v>
      </c>
      <c r="I89" s="228" t="str">
        <f ca="1">IFERROR(__xludf.DUMMYFUNCTION("""COMPUTED_VALUE"""),"HH Survey / KI")</f>
        <v>HH Survey / KI</v>
      </c>
      <c r="J89" s="228" t="str">
        <f ca="1">IFERROR(__xludf.DUMMYFUNCTION("""COMPUTED_VALUE"""),"MSNA / Protection Monitoring")</f>
        <v>MSNA / Protection Monitoring</v>
      </c>
      <c r="K89" s="228" t="str">
        <f ca="1">IFERROR(__xludf.DUMMYFUNCTION("""COMPUTED_VALUE"""),"No explosive ordnance
disability in the HH")</f>
        <v>No explosive ordnance
disability in the HH</v>
      </c>
      <c r="L89" s="228" t="str">
        <f ca="1">IFERROR(__xludf.DUMMYFUNCTION("""COMPUTED_VALUE"""),"No explosive ordnance
disability in the HH")</f>
        <v>No explosive ordnance
disability in the HH</v>
      </c>
      <c r="M89" s="228" t="str">
        <f ca="1">IFERROR(__xludf.DUMMYFUNCTION("""COMPUTED_VALUE"""),"No explosive ordnance
disability in the HH")</f>
        <v>No explosive ordnance
disability in the HH</v>
      </c>
      <c r="N89" s="228" t="str">
        <f ca="1">IFERROR(__xludf.DUMMYFUNCTION("""COMPUTED_VALUE"""),"HH member has disability with
a (a lot of difficulty) due to
explosive ordnance")</f>
        <v>HH member has disability with
a (a lot of difficulty) due to
explosive ordnance</v>
      </c>
      <c r="O89" s="228" t="str">
        <f ca="1">IFERROR(__xludf.DUMMYFUNCTION("""COMPUTED_VALUE"""),"HH member has disability with
(cannot do at all) due to
explosive ordnance")</f>
        <v>HH member has disability with
(cannot do at all) due to
explosive ordnance</v>
      </c>
      <c r="P89" s="229"/>
      <c r="Q89" s="215"/>
      <c r="R89" s="215"/>
      <c r="S89" s="215"/>
      <c r="T89" s="216"/>
      <c r="U89" s="216"/>
    </row>
    <row r="90" spans="1:21" ht="50" hidden="1">
      <c r="A90" s="202">
        <f ca="1">IFERROR(__xludf.DUMMYFUNCTION("""COMPUTED_VALUE"""),85)</f>
        <v>85</v>
      </c>
      <c r="B90" s="228" t="str">
        <f ca="1">IFERROR(__xludf.DUMMYFUNCTION("""COMPUTED_VALUE"""),"Protection")</f>
        <v>Protection</v>
      </c>
      <c r="C90" s="228" t="str">
        <f ca="1">IFERROR(__xludf.DUMMYFUNCTION("""COMPUTED_VALUE"""),"MHPSS / CP / GBV")</f>
        <v>MHPSS / CP / GBV</v>
      </c>
      <c r="D90" s="228" t="str">
        <f ca="1">IFERROR(__xludf.DUMMYFUNCTION("""COMPUTED_VALUE"""),"Humanitarian Conditions")</f>
        <v>Humanitarian Conditions</v>
      </c>
      <c r="E90" s="228" t="str">
        <f ca="1">IFERROR(__xludf.DUMMYFUNCTION("""COMPUTED_VALUE"""),"Physical and Mental Wellbeing")</f>
        <v>Physical and Mental Wellbeing</v>
      </c>
      <c r="F90" s="228" t="str">
        <f ca="1">IFERROR(__xludf.DUMMYFUNCTION("""COMPUTED_VALUE"""),"% of HH where at least one member (SADD) is reporting signs of distress (self-diagnosed)")</f>
        <v>% of HH where at least one member (SADD) is reporting signs of distress (self-diagnosed)</v>
      </c>
      <c r="G90" s="228"/>
      <c r="H90" s="228">
        <f ca="1">IFERROR(__xludf.DUMMYFUNCTION("""COMPUTED_VALUE"""),1)</f>
        <v>1</v>
      </c>
      <c r="I90" s="228" t="str">
        <f ca="1">IFERROR(__xludf.DUMMYFUNCTION("""COMPUTED_VALUE"""),"HH Survey / KI")</f>
        <v>HH Survey / KI</v>
      </c>
      <c r="J90" s="228" t="str">
        <f ca="1">IFERROR(__xludf.DUMMYFUNCTION("""COMPUTED_VALUE"""),"MSNA / Protection Monitoring")</f>
        <v>MSNA / Protection Monitoring</v>
      </c>
      <c r="K90" s="228"/>
      <c r="L90" s="228"/>
      <c r="M90" s="228"/>
      <c r="N90" s="228"/>
      <c r="O90" s="228"/>
      <c r="P90" s="229"/>
      <c r="Q90" s="215"/>
      <c r="R90" s="215"/>
      <c r="S90" s="215"/>
      <c r="T90" s="216"/>
      <c r="U90" s="216"/>
    </row>
    <row r="91" spans="1:21" ht="112.5" hidden="1">
      <c r="A91" s="202">
        <f ca="1">IFERROR(__xludf.DUMMYFUNCTION("""COMPUTED_VALUE"""),86)</f>
        <v>86</v>
      </c>
      <c r="B91" s="228" t="str">
        <f ca="1">IFERROR(__xludf.DUMMYFUNCTION("""COMPUTED_VALUE"""),"Protection")</f>
        <v>Protection</v>
      </c>
      <c r="C91" s="228" t="str">
        <f ca="1">IFERROR(__xludf.DUMMYFUNCTION("""COMPUTED_VALUE"""),"Protection")</f>
        <v>Protection</v>
      </c>
      <c r="D91" s="228" t="str">
        <f ca="1">IFERROR(__xludf.DUMMYFUNCTION("""COMPUTED_VALUE"""),"Humanitarian Conditions")</f>
        <v>Humanitarian Conditions</v>
      </c>
      <c r="E91" s="228" t="str">
        <f ca="1">IFERROR(__xludf.DUMMYFUNCTION("""COMPUTED_VALUE"""),"Coping Mechanisms")</f>
        <v>Coping Mechanisms</v>
      </c>
      <c r="F91" s="228" t="str">
        <f ca="1">IFERROR(__xludf.DUMMYFUNCTION("""COMPUTED_VALUE"""),"% of HHs engaging in harmful coping mechanisms in the last 30 days")</f>
        <v>% of HHs engaging in harmful coping mechanisms in the last 30 days</v>
      </c>
      <c r="G91" s="228"/>
      <c r="H91" s="228">
        <f ca="1">IFERROR(__xludf.DUMMYFUNCTION("""COMPUTED_VALUE"""),1)</f>
        <v>1</v>
      </c>
      <c r="I91" s="228" t="str">
        <f ca="1">IFERROR(__xludf.DUMMYFUNCTION("""COMPUTED_VALUE"""),"HH Survey")</f>
        <v>HH Survey</v>
      </c>
      <c r="J91" s="228" t="str">
        <f ca="1">IFERROR(__xludf.DUMMYFUNCTION("""COMPUTED_VALUE"""),"MSNA / Protection Monitoring")</f>
        <v>MSNA / Protection Monitoring</v>
      </c>
      <c r="K91" s="228" t="str">
        <f ca="1">IFERROR(__xludf.DUMMYFUNCTION("""COMPUTED_VALUE"""),"No harmful coping strategy")</f>
        <v>No harmful coping strategy</v>
      </c>
      <c r="L91" s="228" t="str">
        <f ca="1">IFERROR(__xludf.DUMMYFUNCTION("""COMPUTED_VALUE"""),"No harmful coping strategy")</f>
        <v>No harmful coping strategy</v>
      </c>
      <c r="M91" s="228" t="str">
        <f ca="1">IFERROR(__xludf.DUMMYFUNCTION("""COMPUTED_VALUE"""),"selected: Selling household
property; Buying food on credit;
Borrowing money through
friends and relatives; Reducing
expenditures on NFI")</f>
        <v>selected: Selling household
property; Buying food on credit;
Borrowing money through
friends and relatives; Reducing
expenditures on NFI</v>
      </c>
      <c r="N91" s="228" t="str">
        <f ca="1">IFERROR(__xludf.DUMMYFUNCTION("""COMPUTED_VALUE"""),"HH Selected: Selling means of
transport; Changing place of
residence; Children under 18
working to provide resources")</f>
        <v>HH Selected: Selling means of
transport; Changing place of
residence; Children under 18
working to provide resources</v>
      </c>
      <c r="O91" s="228" t="str">
        <f ca="1">IFERROR(__xludf.DUMMYFUNCTION("""COMPUTED_VALUE"""),"HH Selected: Children dropping
out from school; Accepting that
adults engage in risky behavior;
Migration of all family; Children
or adult forcefully married")</f>
        <v>HH Selected: Children dropping
out from school; Accepting that
adults engage in risky behavior;
Migration of all family; Children
or adult forcefully married</v>
      </c>
      <c r="P91" s="229"/>
      <c r="Q91" s="215"/>
      <c r="R91" s="215"/>
      <c r="S91" s="215"/>
      <c r="T91" s="216"/>
      <c r="U91" s="216"/>
    </row>
    <row r="92" spans="1:21" ht="62.5" hidden="1">
      <c r="A92" s="202">
        <f ca="1">IFERROR(__xludf.DUMMYFUNCTION("""COMPUTED_VALUE"""),87)</f>
        <v>87</v>
      </c>
      <c r="B92" s="228" t="str">
        <f ca="1">IFERROR(__xludf.DUMMYFUNCTION("""COMPUTED_VALUE"""),"Protection")</f>
        <v>Protection</v>
      </c>
      <c r="C92" s="228" t="str">
        <f ca="1">IFERROR(__xludf.DUMMYFUNCTION("""COMPUTED_VALUE"""),"Protection")</f>
        <v>Protection</v>
      </c>
      <c r="D92" s="228" t="str">
        <f ca="1">IFERROR(__xludf.DUMMYFUNCTION("""COMPUTED_VALUE"""),"Humanitarian Conditions")</f>
        <v>Humanitarian Conditions</v>
      </c>
      <c r="E92" s="228" t="str">
        <f ca="1">IFERROR(__xludf.DUMMYFUNCTION("""COMPUTED_VALUE"""),"Living Standards")</f>
        <v>Living Standards</v>
      </c>
      <c r="F92" s="228" t="str">
        <f ca="1">IFERROR(__xludf.DUMMYFUNCTION("""COMPUTED_VALUE"""),"% of HH members without valid civil documentation and unable to obtain them")</f>
        <v>% of HH members without valid civil documentation and unable to obtain them</v>
      </c>
      <c r="G92" s="228"/>
      <c r="H92" s="228">
        <f ca="1">IFERROR(__xludf.DUMMYFUNCTION("""COMPUTED_VALUE"""),1)</f>
        <v>1</v>
      </c>
      <c r="I92" s="228" t="str">
        <f ca="1">IFERROR(__xludf.DUMMYFUNCTION("""COMPUTED_VALUE"""),"HH Survey")</f>
        <v>HH Survey</v>
      </c>
      <c r="J92" s="228" t="str">
        <f ca="1">IFERROR(__xludf.DUMMYFUNCTION("""COMPUTED_VALUE"""),"MSNA / Protection Monitoring")</f>
        <v>MSNA / Protection Monitoring</v>
      </c>
      <c r="K92" s="228" t="str">
        <f ca="1">IFERROR(__xludf.DUMMYFUNCTION("""COMPUTED_VALUE"""),"All household members have valid documentation, including birth certificate, ID card and passport")</f>
        <v>All household members have valid documentation, including birth certificate, ID card and passport</v>
      </c>
      <c r="L92" s="228" t="str">
        <f ca="1">IFERROR(__xludf.DUMMYFUNCTION("""COMPUTED_VALUE"""),"All household members have valid documentation, including birth certificate and ID card")</f>
        <v>All household members have valid documentation, including birth certificate and ID card</v>
      </c>
      <c r="M92" s="228" t="str">
        <f ca="1">IFERROR(__xludf.DUMMYFUNCTION("""COMPUTED_VALUE"""),"At least one member of the HH don’t have valid ID card or passport but can obtain new ones")</f>
        <v>At least one member of the HH don’t have valid ID card or passport but can obtain new ones</v>
      </c>
      <c r="N92" s="228" t="str">
        <f ca="1">IFERROR(__xludf.DUMMYFUNCTION("""COMPUTED_VALUE"""),"At least one member of the HH don’t have valid ID card or passport and can’t obtain new ones")</f>
        <v>At least one member of the HH don’t have valid ID card or passport and can’t obtain new ones</v>
      </c>
      <c r="O92" s="228" t="str">
        <f ca="1">IFERROR(__xludf.DUMMYFUNCTION("""COMPUTED_VALUE"""),"At least one member of the HH don’t have birth certificate")</f>
        <v>At least one member of the HH don’t have birth certificate</v>
      </c>
      <c r="P92" s="229"/>
      <c r="Q92" s="215"/>
      <c r="R92" s="215"/>
      <c r="S92" s="215"/>
      <c r="T92" s="216"/>
      <c r="U92" s="216"/>
    </row>
    <row r="93" spans="1:21" ht="62.5" hidden="1">
      <c r="A93" s="202">
        <f ca="1">IFERROR(__xludf.DUMMYFUNCTION("""COMPUTED_VALUE"""),88)</f>
        <v>88</v>
      </c>
      <c r="B93" s="228" t="str">
        <f ca="1">IFERROR(__xludf.DUMMYFUNCTION("""COMPUTED_VALUE"""),"Protection")</f>
        <v>Protection</v>
      </c>
      <c r="C93" s="228" t="str">
        <f ca="1">IFERROR(__xludf.DUMMYFUNCTION("""COMPUTED_VALUE"""),"Protection")</f>
        <v>Protection</v>
      </c>
      <c r="D93" s="228" t="str">
        <f ca="1">IFERROR(__xludf.DUMMYFUNCTION("""COMPUTED_VALUE"""),"Humanitarian Conditions")</f>
        <v>Humanitarian Conditions</v>
      </c>
      <c r="E93" s="228" t="str">
        <f ca="1">IFERROR(__xludf.DUMMYFUNCTION("""COMPUTED_VALUE"""),"Living Standards")</f>
        <v>Living Standards</v>
      </c>
      <c r="F93" s="228" t="str">
        <f ca="1">IFERROR(__xludf.DUMMYFUNCTION("""COMPUTED_VALUE"""),"% of HHs reporting protection issues when accessing humanitarian assistance in the last 3 months")</f>
        <v>% of HHs reporting protection issues when accessing humanitarian assistance in the last 3 months</v>
      </c>
      <c r="G93" s="228"/>
      <c r="H93" s="228">
        <f ca="1">IFERROR(__xludf.DUMMYFUNCTION("""COMPUTED_VALUE"""),2)</f>
        <v>2</v>
      </c>
      <c r="I93" s="228" t="str">
        <f ca="1">IFERROR(__xludf.DUMMYFUNCTION("""COMPUTED_VALUE"""),"HH Survey")</f>
        <v>HH Survey</v>
      </c>
      <c r="J93" s="228" t="str">
        <f ca="1">IFERROR(__xludf.DUMMYFUNCTION("""COMPUTED_VALUE"""),"MSNA / Protection Monitoring")</f>
        <v>MSNA / Protection Monitoring</v>
      </c>
      <c r="K93" s="228" t="str">
        <f ca="1">IFERROR(__xludf.DUMMYFUNCTION("""COMPUTED_VALUE"""),"&lt; 20%")</f>
        <v>&lt; 20%</v>
      </c>
      <c r="L93" s="228" t="str">
        <f ca="1">IFERROR(__xludf.DUMMYFUNCTION("""COMPUTED_VALUE"""),"20% - 30%")</f>
        <v>20% - 30%</v>
      </c>
      <c r="M93" s="228" t="str">
        <f ca="1">IFERROR(__xludf.DUMMYFUNCTION("""COMPUTED_VALUE"""),"30% - 40%")</f>
        <v>30% - 40%</v>
      </c>
      <c r="N93" s="228" t="str">
        <f ca="1">IFERROR(__xludf.DUMMYFUNCTION("""COMPUTED_VALUE"""),"40% - 50%")</f>
        <v>40% - 50%</v>
      </c>
      <c r="O93" s="228" t="str">
        <f ca="1">IFERROR(__xludf.DUMMYFUNCTION("""COMPUTED_VALUE"""),"&gt; 50%")</f>
        <v>&gt; 50%</v>
      </c>
      <c r="P93" s="229"/>
      <c r="Q93" s="215"/>
      <c r="R93" s="215"/>
      <c r="S93" s="215"/>
      <c r="T93" s="216"/>
      <c r="U93" s="216"/>
    </row>
    <row r="94" spans="1:21" ht="75" hidden="1">
      <c r="A94" s="202">
        <f ca="1">IFERROR(__xludf.DUMMYFUNCTION("""COMPUTED_VALUE"""),89)</f>
        <v>89</v>
      </c>
      <c r="B94" s="228" t="str">
        <f ca="1">IFERROR(__xludf.DUMMYFUNCTION("""COMPUTED_VALUE"""),"Protection")</f>
        <v>Protection</v>
      </c>
      <c r="C94" s="228" t="str">
        <f ca="1">IFERROR(__xludf.DUMMYFUNCTION("""COMPUTED_VALUE"""),"Protection")</f>
        <v>Protection</v>
      </c>
      <c r="D94" s="228" t="str">
        <f ca="1">IFERROR(__xludf.DUMMYFUNCTION("""COMPUTED_VALUE"""),"Humanitarian Conditions")</f>
        <v>Humanitarian Conditions</v>
      </c>
      <c r="E94" s="228" t="str">
        <f ca="1">IFERROR(__xludf.DUMMYFUNCTION("""COMPUTED_VALUE"""),"Living Standards")</f>
        <v>Living Standards</v>
      </c>
      <c r="F94" s="228" t="str">
        <f ca="1">IFERROR(__xludf.DUMMYFUNCTION("""COMPUTED_VALUE"""),"% of HHs that have experienced movement restrictions in the last 3 months")</f>
        <v>% of HHs that have experienced movement restrictions in the last 3 months</v>
      </c>
      <c r="G94" s="228"/>
      <c r="H94" s="228">
        <f ca="1">IFERROR(__xludf.DUMMYFUNCTION("""COMPUTED_VALUE"""),1)</f>
        <v>1</v>
      </c>
      <c r="I94" s="228" t="str">
        <f ca="1">IFERROR(__xludf.DUMMYFUNCTION("""COMPUTED_VALUE"""),"HH Survey / KI")</f>
        <v>HH Survey / KI</v>
      </c>
      <c r="J94" s="228" t="str">
        <f ca="1">IFERROR(__xludf.DUMMYFUNCTION("""COMPUTED_VALUE"""),"MSNA / Protection Monitoring")</f>
        <v>MSNA / Protection Monitoring</v>
      </c>
      <c r="K94" s="228" t="str">
        <f ca="1">IFERROR(__xludf.DUMMYFUNCTION("""COMPUTED_VALUE"""),"HHs: Total freedom of movement inside or to another country
Area: 0%")</f>
        <v>HHs: Total freedom of movement inside or to another country
Area: 0%</v>
      </c>
      <c r="L94" s="228" t="str">
        <f ca="1">IFERROR(__xludf.DUMMYFUNCTION("""COMPUTED_VALUE"""),"HHs: Total freedom of movement inside the country
Area: 1-10%")</f>
        <v>HHs: Total freedom of movement inside the country
Area: 1-10%</v>
      </c>
      <c r="M94" s="228" t="str">
        <f ca="1">IFERROR(__xludf.DUMMYFUNCTION("""COMPUTED_VALUE"""),"HHs: Total freedom of movement inside the same province / district
Area: 20-40%")</f>
        <v>HHs: Total freedom of movement inside the same province / district
Area: 20-40%</v>
      </c>
      <c r="N94" s="228" t="str">
        <f ca="1">IFERROR(__xludf.DUMMYFUNCTION("""COMPUTED_VALUE"""),"HHs: No possibility for household members to move outside their site / community
Area: 40-60%")</f>
        <v>HHs: No possibility for household members to move outside their site / community
Area: 40-60%</v>
      </c>
      <c r="O94" s="228" t="str">
        <f ca="1">IFERROR(__xludf.DUMMYFUNCTION("""COMPUTED_VALUE"""),"HHs: No possibility for household members to move within their site / community
Area: 60%")</f>
        <v>HHs: No possibility for household members to move within their site / community
Area: 60%</v>
      </c>
      <c r="P94" s="229"/>
      <c r="Q94" s="215"/>
      <c r="R94" s="215"/>
      <c r="S94" s="215"/>
      <c r="T94" s="216"/>
      <c r="U94" s="216"/>
    </row>
    <row r="95" spans="1:21" ht="50" hidden="1">
      <c r="A95" s="202">
        <f ca="1">IFERROR(__xludf.DUMMYFUNCTION("""COMPUTED_VALUE"""),90)</f>
        <v>90</v>
      </c>
      <c r="B95" s="228" t="str">
        <f ca="1">IFERROR(__xludf.DUMMYFUNCTION("""COMPUTED_VALUE"""),"Protection")</f>
        <v>Protection</v>
      </c>
      <c r="C95" s="228" t="str">
        <f ca="1">IFERROR(__xludf.DUMMYFUNCTION("""COMPUTED_VALUE"""),"Protection")</f>
        <v>Protection</v>
      </c>
      <c r="D95" s="228" t="str">
        <f ca="1">IFERROR(__xludf.DUMMYFUNCTION("""COMPUTED_VALUE"""),"Humanitarian Conditions")</f>
        <v>Humanitarian Conditions</v>
      </c>
      <c r="E95" s="228" t="str">
        <f ca="1">IFERROR(__xludf.DUMMYFUNCTION("""COMPUTED_VALUE"""),"Living Standards")</f>
        <v>Living Standards</v>
      </c>
      <c r="F95" s="228" t="str">
        <f ca="1">IFERROR(__xludf.DUMMYFUNCTION("""COMPUTED_VALUE"""),"% of HHs without access to official law enforcement authorities and/or judiciary system")</f>
        <v>% of HHs without access to official law enforcement authorities and/or judiciary system</v>
      </c>
      <c r="G95" s="228"/>
      <c r="H95" s="228">
        <f ca="1">IFERROR(__xludf.DUMMYFUNCTION("""COMPUTED_VALUE"""),2)</f>
        <v>2</v>
      </c>
      <c r="I95" s="228" t="str">
        <f ca="1">IFERROR(__xludf.DUMMYFUNCTION("""COMPUTED_VALUE"""),"HH Survey / KI")</f>
        <v>HH Survey / KI</v>
      </c>
      <c r="J95" s="228" t="str">
        <f ca="1">IFERROR(__xludf.DUMMYFUNCTION("""COMPUTED_VALUE"""),"MSNA / Protection Monitoring / Service mapping")</f>
        <v>MSNA / Protection Monitoring / Service mapping</v>
      </c>
      <c r="K95" s="228" t="str">
        <f ca="1">IFERROR(__xludf.DUMMYFUNCTION("""COMPUTED_VALUE"""),"&lt; 20%")</f>
        <v>&lt; 20%</v>
      </c>
      <c r="L95" s="228" t="str">
        <f ca="1">IFERROR(__xludf.DUMMYFUNCTION("""COMPUTED_VALUE"""),"20% - 30%")</f>
        <v>20% - 30%</v>
      </c>
      <c r="M95" s="228" t="str">
        <f ca="1">IFERROR(__xludf.DUMMYFUNCTION("""COMPUTED_VALUE"""),"30% - 40%")</f>
        <v>30% - 40%</v>
      </c>
      <c r="N95" s="228" t="str">
        <f ca="1">IFERROR(__xludf.DUMMYFUNCTION("""COMPUTED_VALUE"""),"40% - 50%")</f>
        <v>40% - 50%</v>
      </c>
      <c r="O95" s="228" t="str">
        <f ca="1">IFERROR(__xludf.DUMMYFUNCTION("""COMPUTED_VALUE"""),"&gt; 50%")</f>
        <v>&gt; 50%</v>
      </c>
      <c r="P95" s="229"/>
      <c r="Q95" s="215"/>
      <c r="R95" s="215"/>
      <c r="S95" s="215"/>
      <c r="T95" s="216"/>
      <c r="U95" s="216"/>
    </row>
    <row r="96" spans="1:21" ht="75" hidden="1">
      <c r="A96" s="202">
        <f ca="1">IFERROR(__xludf.DUMMYFUNCTION("""COMPUTED_VALUE"""),91)</f>
        <v>91</v>
      </c>
      <c r="B96" s="228" t="str">
        <f ca="1">IFERROR(__xludf.DUMMYFUNCTION("""COMPUTED_VALUE"""),"Protection")</f>
        <v>Protection</v>
      </c>
      <c r="C96" s="228" t="str">
        <f ca="1">IFERROR(__xludf.DUMMYFUNCTION("""COMPUTED_VALUE"""),"Protection")</f>
        <v>Protection</v>
      </c>
      <c r="D96" s="228" t="str">
        <f ca="1">IFERROR(__xludf.DUMMYFUNCTION("""COMPUTED_VALUE"""),"Humanitarian Conditions")</f>
        <v>Humanitarian Conditions</v>
      </c>
      <c r="E96" s="228" t="str">
        <f ca="1">IFERROR(__xludf.DUMMYFUNCTION("""COMPUTED_VALUE"""),"Living Standards")</f>
        <v>Living Standards</v>
      </c>
      <c r="F96" s="228" t="str">
        <f ca="1">IFERROR(__xludf.DUMMYFUNCTION("""COMPUTED_VALUE"""),"% of population in specific groups excluded or with limited access to services (i.e. UASC, persons with disabilities, older persons, minority groups, etc.)")</f>
        <v>% of population in specific groups excluded or with limited access to services (i.e. UASC, persons with disabilities, older persons, minority groups, etc.)</v>
      </c>
      <c r="G96" s="228"/>
      <c r="H96" s="228">
        <f ca="1">IFERROR(__xludf.DUMMYFUNCTION("""COMPUTED_VALUE"""),1)</f>
        <v>1</v>
      </c>
      <c r="I96" s="228" t="str">
        <f ca="1">IFERROR(__xludf.DUMMYFUNCTION("""COMPUTED_VALUE"""),"KI")</f>
        <v>KI</v>
      </c>
      <c r="J96" s="228" t="str">
        <f ca="1">IFERROR(__xludf.DUMMYFUNCTION("""COMPUTED_VALUE"""),"Protection Monitoring")</f>
        <v>Protection Monitoring</v>
      </c>
      <c r="K96" s="228" t="str">
        <f ca="1">IFERROR(__xludf.DUMMYFUNCTION("""COMPUTED_VALUE"""),"&lt; 30%")</f>
        <v>&lt; 30%</v>
      </c>
      <c r="L96" s="228" t="str">
        <f ca="1">IFERROR(__xludf.DUMMYFUNCTION("""COMPUTED_VALUE"""),"30% - 45%")</f>
        <v>30% - 45%</v>
      </c>
      <c r="M96" s="228" t="str">
        <f ca="1">IFERROR(__xludf.DUMMYFUNCTION("""COMPUTED_VALUE"""),"45% - 60%")</f>
        <v>45% - 60%</v>
      </c>
      <c r="N96" s="228" t="str">
        <f ca="1">IFERROR(__xludf.DUMMYFUNCTION("""COMPUTED_VALUE"""),"60% - 75%")</f>
        <v>60% - 75%</v>
      </c>
      <c r="O96" s="228" t="str">
        <f ca="1">IFERROR(__xludf.DUMMYFUNCTION("""COMPUTED_VALUE"""),"&gt; 75%")</f>
        <v>&gt; 75%</v>
      </c>
      <c r="P96" s="229"/>
      <c r="Q96" s="215"/>
      <c r="R96" s="215"/>
      <c r="S96" s="215"/>
      <c r="T96" s="216"/>
      <c r="U96" s="216"/>
    </row>
    <row r="97" spans="1:21" ht="37.5" hidden="1">
      <c r="A97" s="202">
        <f ca="1">IFERROR(__xludf.DUMMYFUNCTION("""COMPUTED_VALUE"""),92)</f>
        <v>92</v>
      </c>
      <c r="B97" s="228" t="str">
        <f ca="1">IFERROR(__xludf.DUMMYFUNCTION("""COMPUTED_VALUE"""),"Protection")</f>
        <v>Protection</v>
      </c>
      <c r="C97" s="228" t="str">
        <f ca="1">IFERROR(__xludf.DUMMYFUNCTION("""COMPUTED_VALUE"""),"Protection")</f>
        <v>Protection</v>
      </c>
      <c r="D97" s="228" t="str">
        <f ca="1">IFERROR(__xludf.DUMMYFUNCTION("""COMPUTED_VALUE"""),"Humanitarian Conditions")</f>
        <v>Humanitarian Conditions</v>
      </c>
      <c r="E97" s="228" t="str">
        <f ca="1">IFERROR(__xludf.DUMMYFUNCTION("""COMPUTED_VALUE"""),"Physical and Mental Wellbeing")</f>
        <v>Physical and Mental Wellbeing</v>
      </c>
      <c r="F97" s="228" t="str">
        <f ca="1">IFERROR(__xludf.DUMMYFUNCTION("""COMPUTED_VALUE"""),"Civilian population killed or injured by violence, conflict or natural hazards")</f>
        <v>Civilian population killed or injured by violence, conflict or natural hazards</v>
      </c>
      <c r="G97" s="228"/>
      <c r="H97" s="228">
        <f ca="1">IFERROR(__xludf.DUMMYFUNCTION("""COMPUTED_VALUE"""),1)</f>
        <v>1</v>
      </c>
      <c r="I97" s="228" t="str">
        <f ca="1">IFERROR(__xludf.DUMMYFUNCTION("""COMPUTED_VALUE"""),"KI")</f>
        <v>KI</v>
      </c>
      <c r="J97" s="228" t="str">
        <f ca="1">IFERROR(__xludf.DUMMYFUNCTION("""COMPUTED_VALUE"""),"UNDSS / ACLED / Media Monitoring")</f>
        <v>UNDSS / ACLED / Media Monitoring</v>
      </c>
      <c r="K97" s="228"/>
      <c r="L97" s="228"/>
      <c r="M97" s="228"/>
      <c r="N97" s="228"/>
      <c r="O97" s="228"/>
      <c r="P97" s="229"/>
      <c r="Q97" s="215"/>
      <c r="R97" s="215"/>
      <c r="S97" s="215"/>
      <c r="T97" s="216"/>
      <c r="U97" s="216"/>
    </row>
    <row r="98" spans="1:21" ht="50" hidden="1">
      <c r="A98" s="202">
        <f ca="1">IFERROR(__xludf.DUMMYFUNCTION("""COMPUTED_VALUE"""),93)</f>
        <v>93</v>
      </c>
      <c r="B98" s="228" t="str">
        <f ca="1">IFERROR(__xludf.DUMMYFUNCTION("""COMPUTED_VALUE"""),"Protection")</f>
        <v>Protection</v>
      </c>
      <c r="C98" s="228" t="str">
        <f ca="1">IFERROR(__xludf.DUMMYFUNCTION("""COMPUTED_VALUE"""),"Protection")</f>
        <v>Protection</v>
      </c>
      <c r="D98" s="228" t="str">
        <f ca="1">IFERROR(__xludf.DUMMYFUNCTION("""COMPUTED_VALUE"""),"Humanitarian Conditions")</f>
        <v>Humanitarian Conditions</v>
      </c>
      <c r="E98" s="228" t="str">
        <f ca="1">IFERROR(__xludf.DUMMYFUNCTION("""COMPUTED_VALUE"""),"Physical and Mental Wellbeing")</f>
        <v>Physical and Mental Wellbeing</v>
      </c>
      <c r="F98" s="228" t="str">
        <f ca="1">IFERROR(__xludf.DUMMYFUNCTION("""COMPUTED_VALUE"""),"% of population in sites/communities reporting protection incidents in the last 3 months")</f>
        <v>% of population in sites/communities reporting protection incidents in the last 3 months</v>
      </c>
      <c r="G98" s="228"/>
      <c r="H98" s="228">
        <f ca="1">IFERROR(__xludf.DUMMYFUNCTION("""COMPUTED_VALUE"""),1)</f>
        <v>1</v>
      </c>
      <c r="I98" s="228" t="str">
        <f ca="1">IFERROR(__xludf.DUMMYFUNCTION("""COMPUTED_VALUE"""),"KI")</f>
        <v>KI</v>
      </c>
      <c r="J98" s="228" t="str">
        <f ca="1">IFERROR(__xludf.DUMMYFUNCTION("""COMPUTED_VALUE"""),"Protection Monitoring")</f>
        <v>Protection Monitoring</v>
      </c>
      <c r="K98" s="228" t="str">
        <f ca="1">IFERROR(__xludf.DUMMYFUNCTION("""COMPUTED_VALUE"""),"&lt; 20%")</f>
        <v>&lt; 20%</v>
      </c>
      <c r="L98" s="228" t="str">
        <f ca="1">IFERROR(__xludf.DUMMYFUNCTION("""COMPUTED_VALUE"""),"20% - 30%")</f>
        <v>20% - 30%</v>
      </c>
      <c r="M98" s="228" t="str">
        <f ca="1">IFERROR(__xludf.DUMMYFUNCTION("""COMPUTED_VALUE"""),"30% - 40%")</f>
        <v>30% - 40%</v>
      </c>
      <c r="N98" s="228" t="str">
        <f ca="1">IFERROR(__xludf.DUMMYFUNCTION("""COMPUTED_VALUE"""),"40% - 50%")</f>
        <v>40% - 50%</v>
      </c>
      <c r="O98" s="228" t="str">
        <f ca="1">IFERROR(__xludf.DUMMYFUNCTION("""COMPUTED_VALUE"""),"&gt; 50%")</f>
        <v>&gt; 50%</v>
      </c>
      <c r="P98" s="229"/>
      <c r="Q98" s="215"/>
      <c r="R98" s="215"/>
      <c r="S98" s="215"/>
      <c r="T98" s="216"/>
      <c r="U98" s="216"/>
    </row>
    <row r="99" spans="1:21" ht="87.5" hidden="1">
      <c r="A99" s="202">
        <f ca="1">IFERROR(__xludf.DUMMYFUNCTION("""COMPUTED_VALUE"""),94)</f>
        <v>94</v>
      </c>
      <c r="B99" s="228" t="str">
        <f ca="1">IFERROR(__xludf.DUMMYFUNCTION("""COMPUTED_VALUE"""),"Protection")</f>
        <v>Protection</v>
      </c>
      <c r="C99" s="228" t="str">
        <f ca="1">IFERROR(__xludf.DUMMYFUNCTION("""COMPUTED_VALUE"""),"Protection")</f>
        <v>Protection</v>
      </c>
      <c r="D99" s="228" t="str">
        <f ca="1">IFERROR(__xludf.DUMMYFUNCTION("""COMPUTED_VALUE"""),"Humanitarian Conditions")</f>
        <v>Humanitarian Conditions</v>
      </c>
      <c r="E99" s="228" t="str">
        <f ca="1">IFERROR(__xludf.DUMMYFUNCTION("""COMPUTED_VALUE"""),"Physical and Mental Wellbeing")</f>
        <v>Physical and Mental Wellbeing</v>
      </c>
      <c r="F99" s="228" t="str">
        <f ca="1">IFERROR(__xludf.DUMMYFUNCTION("""COMPUTED_VALUE"""),"% of HHs who have suffered incidents affecting HH members in the last 3 months")</f>
        <v>% of HHs who have suffered incidents affecting HH members in the last 3 months</v>
      </c>
      <c r="G99" s="228"/>
      <c r="H99" s="228">
        <f ca="1">IFERROR(__xludf.DUMMYFUNCTION("""COMPUTED_VALUE"""),1)</f>
        <v>1</v>
      </c>
      <c r="I99" s="228" t="str">
        <f ca="1">IFERROR(__xludf.DUMMYFUNCTION("""COMPUTED_VALUE"""),"HH Survey / KI")</f>
        <v>HH Survey / KI</v>
      </c>
      <c r="J99" s="228" t="str">
        <f ca="1">IFERROR(__xludf.DUMMYFUNCTION("""COMPUTED_VALUE"""),"Protection Monitoring/MSNA")</f>
        <v>Protection Monitoring/MSNA</v>
      </c>
      <c r="K99" s="228" t="str">
        <f ca="1">IFERROR(__xludf.DUMMYFUNCTION("""COMPUTED_VALUE"""),"HH: No security incidents in the last XX days/months
Area: 0%")</f>
        <v>HH: No security incidents in the last XX days/months
Area: 0%</v>
      </c>
      <c r="L99" s="228" t="str">
        <f ca="1">IFERROR(__xludf.DUMMYFUNCTION("""COMPUTED_VALUE"""),"HHs: Verbally threatened or intimidated
Area: 1-10% HHs have suffered incidents")</f>
        <v>HHs: Verbally threatened or intimidated
Area: 1-10% HHs have suffered incidents</v>
      </c>
      <c r="M99" s="228" t="str">
        <f ca="1">IFERROR(__xludf.DUMMYFUNCTION("""COMPUTED_VALUE"""),"HHs: At least one serious incident in the last XX days/months
Area: 20-40% HHs have suffered incidents")</f>
        <v>HHs: At least one serious incident in the last XX days/months
Area: 20-40% HHs have suffered incidents</v>
      </c>
      <c r="N99" s="228" t="str">
        <f ca="1">IFERROR(__xludf.DUMMYFUNCTION("""COMPUTED_VALUE"""),"HHs: At least one severe incident in the last XX months OR At least 2 serious incidents OR
Area: 40-60% HHs have suffered incidents")</f>
        <v>HHs: At least one severe incident in the last XX months OR At least 2 serious incidents OR
Area: 40-60% HHs have suffered incidents</v>
      </c>
      <c r="O99" s="228" t="str">
        <f ca="1">IFERROR(__xludf.DUMMYFUNCTION("""COMPUTED_VALUE"""),"HHs: At least one critical incident in the last XX days/months OR At least 2 Severe incidents
Area: &gt;60% HHs have suffered incidents")</f>
        <v>HHs: At least one critical incident in the last XX days/months OR At least 2 Severe incidents
Area: &gt;60% HHs have suffered incidents</v>
      </c>
      <c r="P99" s="229" t="str">
        <f ca="1">IFERROR(__xludf.DUMMYFUNCTION("""COMPUTED_VALUE"""),"More appropiate in the context of protection monitoring systems linked to referrals and where questions can be asked to different HH members.")</f>
        <v>More appropiate in the context of protection monitoring systems linked to referrals and where questions can be asked to different HH members.</v>
      </c>
      <c r="Q99" s="215"/>
      <c r="R99" s="215"/>
      <c r="S99" s="215"/>
      <c r="T99" s="216"/>
      <c r="U99" s="216"/>
    </row>
    <row r="100" spans="1:21" ht="125" hidden="1">
      <c r="A100" s="202">
        <f ca="1">IFERROR(__xludf.DUMMYFUNCTION("""COMPUTED_VALUE"""),95)</f>
        <v>95</v>
      </c>
      <c r="B100" s="228" t="str">
        <f ca="1">IFERROR(__xludf.DUMMYFUNCTION("""COMPUTED_VALUE"""),"Protection")</f>
        <v>Protection</v>
      </c>
      <c r="C100" s="228" t="str">
        <f ca="1">IFERROR(__xludf.DUMMYFUNCTION("""COMPUTED_VALUE"""),"Protection")</f>
        <v>Protection</v>
      </c>
      <c r="D100" s="228" t="str">
        <f ca="1">IFERROR(__xludf.DUMMYFUNCTION("""COMPUTED_VALUE"""),"Humanitarian Conditions")</f>
        <v>Humanitarian Conditions</v>
      </c>
      <c r="E100" s="228" t="str">
        <f ca="1">IFERROR(__xludf.DUMMYFUNCTION("""COMPUTED_VALUE"""),"Physical and Mental Wellbeing")</f>
        <v>Physical and Mental Wellbeing</v>
      </c>
      <c r="F100" s="228" t="str">
        <f ca="1">IFERROR(__xludf.DUMMYFUNCTION("""COMPUTED_VALUE"""),"% of HHs reporting concerns from any harm, physical threaths or discrimination in the area where they are livingin the last 3 months")</f>
        <v>% of HHs reporting concerns from any harm, physical threaths or discrimination in the area where they are livingin the last 3 months</v>
      </c>
      <c r="G100" s="228"/>
      <c r="H100" s="228">
        <f ca="1">IFERROR(__xludf.DUMMYFUNCTION("""COMPUTED_VALUE"""),1)</f>
        <v>1</v>
      </c>
      <c r="I100" s="228" t="str">
        <f ca="1">IFERROR(__xludf.DUMMYFUNCTION("""COMPUTED_VALUE"""),"HH Survey / KI")</f>
        <v>HH Survey / KI</v>
      </c>
      <c r="J100" s="228" t="str">
        <f ca="1">IFERROR(__xludf.DUMMYFUNCTION("""COMPUTED_VALUE"""),"MSNA / Protection Monitoring")</f>
        <v>MSNA / Protection Monitoring</v>
      </c>
      <c r="K100" s="228" t="str">
        <f ca="1">IFERROR(__xludf.DUMMYFUNCTION("""COMPUTED_VALUE"""),"HHs: Sometimes worried about theft or harassment or small/medium injuries OR
Sometimes worried about death, EOs OR abduction
Area: 0%")</f>
        <v>HHs: Sometimes worried about theft or harassment or small/medium injuries OR
Sometimes worried about death, EOs OR abduction
Area: 0%</v>
      </c>
      <c r="L100" s="228" t="str">
        <f ca="1">IFERROR(__xludf.DUMMYFUNCTION("""COMPUTED_VALUE"""),"HHs: Always worried about small/medium injuries OR theft / harassment
Area: 1-10%")</f>
        <v>HHs: Always worried about small/medium injuries OR theft / harassment
Area: 1-10%</v>
      </c>
      <c r="M100" s="228" t="str">
        <f ca="1">IFERROR(__xludf.DUMMYFUNCTION("""COMPUTED_VALUE"""),"HHs: Sometimes worried about sexual violence OR grave injuries
Area: 20-40% HHs reporting security concerns")</f>
        <v>HHs: Sometimes worried about sexual violence OR grave injuries
Area: 20-40% HHs reporting security concerns</v>
      </c>
      <c r="N100" s="228" t="str">
        <f ca="1">IFERROR(__xludf.DUMMYFUNCTION("""COMPUTED_VALUE"""),"HHs: Always worried about sexual violence OR grave injuries OR Sometimes worried about death, EOs OR abduction
Area: 40-60% HHs reporting security concerns")</f>
        <v>HHs: Always worried about sexual violence OR grave injuries OR Sometimes worried about death, EOs OR abduction
Area: 40-60% HHs reporting security concerns</v>
      </c>
      <c r="O100" s="228" t="str">
        <f ca="1">IFERROR(__xludf.DUMMYFUNCTION("""COMPUTED_VALUE"""),"Always worried about death OR abduction OR EOs
Area: 60% HHs reporting security concerns")</f>
        <v>Always worried about death OR abduction OR EOs
Area: 60% HHs reporting security concerns</v>
      </c>
      <c r="P100" s="229" t="str">
        <f ca="1">IFERROR(__xludf.DUMMYFUNCTION("""COMPUTED_VALUE"""),"Proxy indicator to include in case HHs directly affected by protection incidents is not available.")</f>
        <v>Proxy indicator to include in case HHs directly affected by protection incidents is not available.</v>
      </c>
      <c r="Q100" s="215"/>
      <c r="R100" s="215"/>
      <c r="S100" s="215"/>
      <c r="T100" s="216"/>
      <c r="U100" s="216"/>
    </row>
    <row r="101" spans="1:21" ht="125" hidden="1">
      <c r="A101" s="202">
        <f ca="1">IFERROR(__xludf.DUMMYFUNCTION("""COMPUTED_VALUE"""),96)</f>
        <v>96</v>
      </c>
      <c r="B101" s="231" t="str">
        <f ca="1">IFERROR(__xludf.DUMMYFUNCTION("""COMPUTED_VALUE"""),"Shelter")</f>
        <v>Shelter</v>
      </c>
      <c r="C101" s="231" t="str">
        <f ca="1">IFERROR(__xludf.DUMMYFUNCTION("""COMPUTED_VALUE"""),"Enclosure")</f>
        <v>Enclosure</v>
      </c>
      <c r="D101" s="231" t="str">
        <f ca="1">IFERROR(__xludf.DUMMYFUNCTION("""COMPUTED_VALUE"""),"Humanitarian conditions")</f>
        <v>Humanitarian conditions</v>
      </c>
      <c r="E101" s="231" t="str">
        <f ca="1">IFERROR(__xludf.DUMMYFUNCTION("""COMPUTED_VALUE"""),"Living Standards")</f>
        <v>Living Standards</v>
      </c>
      <c r="F101" s="231" t="str">
        <f ca="1">IFERROR(__xludf.DUMMYFUNCTION("""COMPUTED_VALUE"""),"% of HH whose dwelling enclosure provides adequate security, privacy, and maintains possessions")</f>
        <v>% of HH whose dwelling enclosure provides adequate security, privacy, and maintains possessions</v>
      </c>
      <c r="G101" s="231"/>
      <c r="H101" s="231"/>
      <c r="I101" s="231"/>
      <c r="J101" s="231"/>
      <c r="K101" s="231" t="str">
        <f ca="1">IFERROR(__xludf.DUMMYFUNCTION("""COMPUTED_VALUE"""),"Household:  Occupants are  fully secure.  Dwelling encloses the occupants and their property so that they are fully secure and private.   Little or no intervention required.")</f>
        <v>Household:  Occupants are  fully secure.  Dwelling encloses the occupants and their property so that they are fully secure and private.   Little or no intervention required.</v>
      </c>
      <c r="L101" s="231" t="str">
        <f ca="1">IFERROR(__xludf.DUMMYFUNCTION("""COMPUTED_VALUE"""),"Household: Occupants are mostly secure.  Dwelling enclosure shows minor privacy deficiencies but maintains security for most household possessions with possible minor repairable deficiencies.")</f>
        <v>Household: Occupants are mostly secure.  Dwelling enclosure shows minor privacy deficiencies but maintains security for most household possessions with possible minor repairable deficiencies.</v>
      </c>
      <c r="M101" s="231" t="str">
        <f ca="1">IFERROR(__xludf.DUMMYFUNCTION("""COMPUTED_VALUE"""),"Household: Occupants have moderate insecurity. Household is moderately exposed to external observation and possessions are not lockable, however they may be able to be concealed. Repairs are required.")</f>
        <v>Household: Occupants have moderate insecurity. Household is moderately exposed to external observation and possessions are not lockable, however they may be able to be concealed. Repairs are required.</v>
      </c>
      <c r="N101" s="231" t="str">
        <f ca="1">IFERROR(__xludf.DUMMYFUNCTION("""COMPUTED_VALUE"""),"Household:  Occupants have severe insecurity.  Dwelling enclosure is very compromised with very poor privacy aspects and possessions are very exposed.")</f>
        <v>Household:  Occupants have severe insecurity.  Dwelling enclosure is very compromised with very poor privacy aspects and possessions are very exposed.</v>
      </c>
      <c r="O101" s="231" t="str">
        <f ca="1">IFERROR(__xludf.DUMMYFUNCTION("""COMPUTED_VALUE"""),"Household:  Dwelling occupants are fully insecure.  Dwelling provides no security to possessions with possible theft/loss and no external privacy.")</f>
        <v>Household:  Dwelling occupants are fully insecure.  Dwelling provides no security to possessions with possible theft/loss and no external privacy.</v>
      </c>
      <c r="P101" s="232"/>
      <c r="Q101" s="215"/>
      <c r="R101" s="215"/>
      <c r="S101" s="215"/>
      <c r="T101" s="216"/>
      <c r="U101" s="216"/>
    </row>
    <row r="102" spans="1:21" ht="25" hidden="1">
      <c r="A102" s="202">
        <f ca="1">IFERROR(__xludf.DUMMYFUNCTION("""COMPUTED_VALUE"""),97)</f>
        <v>97</v>
      </c>
      <c r="B102" s="233" t="str">
        <f ca="1">IFERROR(__xludf.DUMMYFUNCTION("""COMPUTED_VALUE"""),"Shelter")</f>
        <v>Shelter</v>
      </c>
      <c r="C102" s="233" t="str">
        <f ca="1">IFERROR(__xludf.DUMMYFUNCTION("""COMPUTED_VALUE"""),"Enclosure")</f>
        <v>Enclosure</v>
      </c>
      <c r="D102" s="233" t="str">
        <f ca="1">IFERROR(__xludf.DUMMYFUNCTION("""COMPUTED_VALUE"""),"Humanitarian conditions")</f>
        <v>Humanitarian conditions</v>
      </c>
      <c r="E102" s="231" t="str">
        <f ca="1">IFERROR(__xludf.DUMMYFUNCTION("""COMPUTED_VALUE"""),"Living Standards")</f>
        <v>Living Standards</v>
      </c>
      <c r="F102" s="233" t="str">
        <f ca="1">IFERROR(__xludf.DUMMYFUNCTION("""COMPUTED_VALUE"""),"% of HH with interior partition(s)")</f>
        <v>% of HH with interior partition(s)</v>
      </c>
      <c r="G102" s="231"/>
      <c r="H102" s="233">
        <f ca="1">IFERROR(__xludf.DUMMYFUNCTION("""COMPUTED_VALUE"""),2)</f>
        <v>2</v>
      </c>
      <c r="I102" s="233"/>
      <c r="J102" s="231" t="str">
        <f ca="1">IFERROR(__xludf.DUMMYFUNCTION("""COMPUTED_VALUE"""),"Shelter Cluster assessments")</f>
        <v>Shelter Cluster assessments</v>
      </c>
      <c r="K102" s="233" t="str">
        <f ca="1">IFERROR(__xludf.DUMMYFUNCTION("""COMPUTED_VALUE"""),"All dwellings have interior partitions")</f>
        <v>All dwellings have interior partitions</v>
      </c>
      <c r="L102" s="233" t="str">
        <f ca="1">IFERROR(__xludf.DUMMYFUNCTION("""COMPUTED_VALUE"""),"10% of HH lack interior partitions")</f>
        <v>10% of HH lack interior partitions</v>
      </c>
      <c r="M102" s="233" t="str">
        <f ca="1">IFERROR(__xludf.DUMMYFUNCTION("""COMPUTED_VALUE"""),"20% of HH lack interior partitions")</f>
        <v>20% of HH lack interior partitions</v>
      </c>
      <c r="N102" s="233" t="str">
        <f ca="1">IFERROR(__xludf.DUMMYFUNCTION("""COMPUTED_VALUE"""),"30% of HH lack interior partitions")</f>
        <v>30% of HH lack interior partitions</v>
      </c>
      <c r="O102" s="233" t="str">
        <f ca="1">IFERROR(__xludf.DUMMYFUNCTION("""COMPUTED_VALUE"""),"40% of HH lack interior partitions")</f>
        <v>40% of HH lack interior partitions</v>
      </c>
      <c r="P102" s="234"/>
      <c r="Q102" s="215"/>
      <c r="R102" s="215"/>
      <c r="S102" s="215"/>
      <c r="T102" s="216"/>
      <c r="U102" s="216"/>
    </row>
    <row r="103" spans="1:21" ht="200" hidden="1">
      <c r="A103" s="202">
        <f ca="1">IFERROR(__xludf.DUMMYFUNCTION("""COMPUTED_VALUE"""),98)</f>
        <v>98</v>
      </c>
      <c r="B103" s="231" t="str">
        <f ca="1">IFERROR(__xludf.DUMMYFUNCTION("""COMPUTED_VALUE"""),"Shelter")</f>
        <v>Shelter</v>
      </c>
      <c r="C103" s="231" t="str">
        <f ca="1">IFERROR(__xludf.DUMMYFUNCTION("""COMPUTED_VALUE"""),"Enclosure")</f>
        <v>Enclosure</v>
      </c>
      <c r="D103" s="231" t="str">
        <f ca="1">IFERROR(__xludf.DUMMYFUNCTION("""COMPUTED_VALUE"""),"Humanitarian conditions")</f>
        <v>Humanitarian conditions</v>
      </c>
      <c r="E103" s="231" t="str">
        <f ca="1">IFERROR(__xludf.DUMMYFUNCTION("""COMPUTED_VALUE"""),"Living Standards")</f>
        <v>Living Standards</v>
      </c>
      <c r="F103" s="231" t="str">
        <f ca="1">IFERROR(__xludf.DUMMYFUNCTION("""COMPUTED_VALUE"""),"% of HHs whose dwelling enclosure provides adequate safety to the occupants, protection from exposure, and low risk of failure in predictable hazards.")</f>
        <v>% of HHs whose dwelling enclosure provides adequate safety to the occupants, protection from exposure, and low risk of failure in predictable hazards.</v>
      </c>
      <c r="G103" s="231"/>
      <c r="H103" s="231"/>
      <c r="I103" s="231"/>
      <c r="J103" s="231"/>
      <c r="K103" s="231" t="str">
        <f ca="1">IFERROR(__xludf.DUMMYFUNCTION("""COMPUTED_VALUE"""),"Household:  Occupants are  fully safe. Dwelling unit is structurally safe and encloses the residents and their property so that they are warm and dry.  Little or no intervention required.")</f>
        <v>Household:  Occupants are  fully safe. Dwelling unit is structurally safe and encloses the residents and their property so that they are warm and dry.  Little or no intervention required.</v>
      </c>
      <c r="L103" s="231" t="str">
        <f ca="1">IFERROR(__xludf.DUMMYFUNCTION("""COMPUTED_VALUE"""),"Household: Occupants are mostly safe.  Dwelling enclosure shows cosmetic deficiencies but maintains healthy structural and performance standards for weather protection with possible minor repairable deficiencies.")</f>
        <v>Household: Occupants are mostly safe.  Dwelling enclosure shows cosmetic deficiencies but maintains healthy structural and performance standards for weather protection with possible minor repairable deficiencies.</v>
      </c>
      <c r="M103" s="231" t="str">
        <f ca="1">IFERROR(__xludf.DUMMYFUNCTION("""COMPUTED_VALUE"""),"Household: Occupants are moderately unsafe.  Dwelling enclosure performance is moderately compromised, some exposure to weather-related (heat, cold, water) and extended living in this state can lead to deterioration of domestic health or building enclosur"&amp;"e integrity. Repairs are required.")</f>
        <v>Household: Occupants are moderately unsafe.  Dwelling enclosure performance is moderately compromised, some exposure to weather-related (heat, cold, water) and extended living in this state can lead to deterioration of domestic health or building enclosure integrity. Repairs are required.</v>
      </c>
      <c r="N103" s="231" t="str">
        <f ca="1">IFERROR(__xludf.DUMMYFUNCTION("""COMPUTED_VALUE"""),"Household: Occupants are severely unsafe.  Dwelling enclosure performance is severely compromised so that occupant health/injury is at immediate risk. Significant water/air permeance is present, occupants are hot/cold and possessions regularly get wet dur"&amp;"ing rain events..  Significant contruction required, likely temporary accomodation.")</f>
        <v>Household: Occupants are severely unsafe.  Dwelling enclosure performance is severely compromised so that occupant health/injury is at immediate risk. Significant water/air permeance is present, occupants are hot/cold and possessions regularly get wet during rain events..  Significant contruction required, likely temporary accomodation.</v>
      </c>
      <c r="O103" s="231" t="str">
        <f ca="1">IFERROR(__xludf.DUMMYFUNCTION("""COMPUTED_VALUE"""),"Household: Dwelling occupants are fully unsafe.  Building enclosure has little or no prevention for water or weather permeance, is severely damaged, and very unsafe or impossible to reside within.")</f>
        <v>Household: Dwelling occupants are fully unsafe.  Building enclosure has little or no prevention for water or weather permeance, is severely damaged, and very unsafe or impossible to reside within.</v>
      </c>
      <c r="P103" s="232"/>
      <c r="Q103" s="215"/>
      <c r="R103" s="215"/>
      <c r="S103" s="215"/>
      <c r="T103" s="216"/>
      <c r="U103" s="216"/>
    </row>
    <row r="104" spans="1:21" ht="125" hidden="1">
      <c r="A104" s="202">
        <f ca="1">IFERROR(__xludf.DUMMYFUNCTION("""COMPUTED_VALUE"""),99)</f>
        <v>99</v>
      </c>
      <c r="B104" s="231" t="str">
        <f ca="1">IFERROR(__xludf.DUMMYFUNCTION("""COMPUTED_VALUE"""),"Shelter")</f>
        <v>Shelter</v>
      </c>
      <c r="C104" s="233" t="str">
        <f ca="1">IFERROR(__xludf.DUMMYFUNCTION("""COMPUTED_VALUE"""),"Enclosure")</f>
        <v>Enclosure</v>
      </c>
      <c r="D104" s="233" t="str">
        <f ca="1">IFERROR(__xludf.DUMMYFUNCTION("""COMPUTED_VALUE"""),"Humanitarian conditions")</f>
        <v>Humanitarian conditions</v>
      </c>
      <c r="E104" s="231" t="str">
        <f ca="1">IFERROR(__xludf.DUMMYFUNCTION("""COMPUTED_VALUE"""),"Living Standards")</f>
        <v>Living Standards</v>
      </c>
      <c r="F104" s="233" t="str">
        <f ca="1">IFERROR(__xludf.DUMMYFUNCTION("""COMPUTED_VALUE"""),"% of HHs with access to a functional domestic living space")</f>
        <v>% of HHs with access to a functional domestic living space</v>
      </c>
      <c r="G104" s="231"/>
      <c r="H104" s="231">
        <f ca="1">IFERROR(__xludf.DUMMYFUNCTION("""COMPUTED_VALUE"""),1)</f>
        <v>1</v>
      </c>
      <c r="I104" s="231"/>
      <c r="J104" s="231" t="str">
        <f ca="1">IFERROR(__xludf.DUMMYFUNCTION("""COMPUTED_VALUE"""),"Shelter Cluster assessments")</f>
        <v>Shelter Cluster assessments</v>
      </c>
      <c r="K104" s="231" t="str">
        <f ca="1">IFERROR(__xludf.DUMMYFUNCTION("""COMPUTED_VALUE"""),"Area: Less than 10% of HH are settled in Severe or worse conditions
 Household:  HH can perform all core domestic functions without difficulty")</f>
        <v>Area: Less than 10% of HH are settled in Severe or worse conditions
 Household:  HH can perform all core domestic functions without difficulty</v>
      </c>
      <c r="L104" s="231" t="str">
        <f ca="1">IFERROR(__xludf.DUMMYFUNCTION("""COMPUTED_VALUE"""),"Area: More than 10% of HH are settled in Severe or worse conditions
 Household: Some daily domestic activities are compromised but can be performed with additional non-normal effort")</f>
        <v>Area: More than 10% of HH are settled in Severe or worse conditions
 Household: Some daily domestic activities are compromised but can be performed with additional non-normal effort</v>
      </c>
      <c r="M104" s="231" t="str">
        <f ca="1">IFERROR(__xludf.DUMMYFUNCTION("""COMPUTED_VALUE"""),"Area: More than 20% of HH are settled in Severe or worse conditions
 Household: Sleeping or cooking is significantly compromised")</f>
        <v>Area: More than 20% of HH are settled in Severe or worse conditions
 Household: Sleeping or cooking is significantly compromised</v>
      </c>
      <c r="N104" s="231" t="str">
        <f ca="1">IFERROR(__xludf.DUMMYFUNCTION("""COMPUTED_VALUE"""),"Area: More than 20% of HH are settled in Extreme or Catastrophic conditions
 Household: Sleeping and cooking are significantly compromised")</f>
        <v>Area: More than 20% of HH are settled in Extreme or Catastrophic conditions
 Household: Sleeping and cooking are significantly compromised</v>
      </c>
      <c r="O104" s="231" t="str">
        <f ca="1">IFERROR(__xludf.DUMMYFUNCTION("""COMPUTED_VALUE"""),"Area: More than 40% of HH are settled in Extreme or Catastrophic conditions
 Household: HH can no longer perform any domestic functions")</f>
        <v>Area: More than 40% of HH are settled in Extreme or Catastrophic conditions
 Household: HH can no longer perform any domestic functions</v>
      </c>
      <c r="P104" s="232" t="str">
        <f ca="1">IFERROR(__xludf.DUMMYFUNCTION("""COMPUTED_VALUE"""),"Core functions include: Sleeping, cooking, eating, water, etc. Check with other clusters if soem aspectsa re covered to not duplicate.")</f>
        <v>Core functions include: Sleeping, cooking, eating, water, etc. Check with other clusters if soem aspectsa re covered to not duplicate.</v>
      </c>
      <c r="Q104" s="215"/>
      <c r="R104" s="215"/>
      <c r="S104" s="215"/>
      <c r="T104" s="216"/>
      <c r="U104" s="216"/>
    </row>
    <row r="105" spans="1:21" ht="87.5" hidden="1">
      <c r="A105" s="202">
        <f ca="1">IFERROR(__xludf.DUMMYFUNCTION("""COMPUTED_VALUE"""),100)</f>
        <v>100</v>
      </c>
      <c r="B105" s="231" t="str">
        <f ca="1">IFERROR(__xludf.DUMMYFUNCTION("""COMPUTED_VALUE"""),"Shelter")</f>
        <v>Shelter</v>
      </c>
      <c r="C105" s="231" t="str">
        <f ca="1">IFERROR(__xludf.DUMMYFUNCTION("""COMPUTED_VALUE"""),"Enclosure")</f>
        <v>Enclosure</v>
      </c>
      <c r="D105" s="231" t="str">
        <f ca="1">IFERROR(__xludf.DUMMYFUNCTION("""COMPUTED_VALUE"""),"Humanitarian conditions")</f>
        <v>Humanitarian conditions</v>
      </c>
      <c r="E105" s="231" t="str">
        <f ca="1">IFERROR(__xludf.DUMMYFUNCTION("""COMPUTED_VALUE"""),"Living Standards")</f>
        <v>Living Standards</v>
      </c>
      <c r="F105" s="231" t="str">
        <f ca="1">IFERROR(__xludf.DUMMYFUNCTION("""COMPUTED_VALUE"""),"% or HHs currently living in unsustainable shelter situations")</f>
        <v>% or HHs currently living in unsustainable shelter situations</v>
      </c>
      <c r="G105" s="231"/>
      <c r="H105" s="231">
        <f ca="1">IFERROR(__xludf.DUMMYFUNCTION("""COMPUTED_VALUE"""),1)</f>
        <v>1</v>
      </c>
      <c r="I105" s="231"/>
      <c r="J105" s="231" t="str">
        <f ca="1">IFERROR(__xludf.DUMMYFUNCTION("""COMPUTED_VALUE"""),"Shelter Cluster assessments")</f>
        <v>Shelter Cluster assessments</v>
      </c>
      <c r="K105" s="231" t="str">
        <f ca="1">IFERROR(__xludf.DUMMYFUNCTION("""COMPUTED_VALUE"""),"Area: Very few (&lt;10%) of HHs is living in unfinished buildings, collective centres, organized camps, informal settlements, open areas.")</f>
        <v>Area: Very few (&lt;10%) of HHs is living in unfinished buildings, collective centres, organized camps, informal settlements, open areas.</v>
      </c>
      <c r="L105" s="231" t="str">
        <f ca="1">IFERROR(__xludf.DUMMYFUNCTION("""COMPUTED_VALUE"""),"Area:  10% to 50% of HHs live in unfinished buildings, collective centres, organized camps, informal settlements, open areas")</f>
        <v>Area:  10% to 50% of HHs live in unfinished buildings, collective centres, organized camps, informal settlements, open areas</v>
      </c>
      <c r="M105" s="231" t="str">
        <f ca="1">IFERROR(__xludf.DUMMYFUNCTION("""COMPUTED_VALUE"""),"Area: Over 50% to 70% of HHs live in unfinished buildings, collective centres, organized camps, informal settlements, open areas")</f>
        <v>Area: Over 50% to 70% of HHs live in unfinished buildings, collective centres, organized camps, informal settlements, open areas</v>
      </c>
      <c r="N105" s="231" t="str">
        <f ca="1">IFERROR(__xludf.DUMMYFUNCTION("""COMPUTED_VALUE"""),"Area: Over 70% to 90% of HHs live in unfinished buildings, collective centres, organized camps, informal settlements, open areas")</f>
        <v>Area: Over 70% to 90% of HHs live in unfinished buildings, collective centres, organized camps, informal settlements, open areas</v>
      </c>
      <c r="O105" s="231" t="str">
        <f ca="1">IFERROR(__xludf.DUMMYFUNCTION("""COMPUTED_VALUE"""),"Area: Over 90% of HHs live in unfinished buildings, collective centres, organized camps, informal settlements, open areas")</f>
        <v>Area: Over 90% of HHs live in unfinished buildings, collective centres, organized camps, informal settlements, open areas</v>
      </c>
      <c r="P105" s="232"/>
      <c r="Q105" s="215"/>
      <c r="R105" s="215"/>
      <c r="S105" s="215"/>
      <c r="T105" s="216"/>
      <c r="U105" s="216"/>
    </row>
    <row r="106" spans="1:21" ht="162.5" hidden="1">
      <c r="A106" s="202">
        <f ca="1">IFERROR(__xludf.DUMMYFUNCTION("""COMPUTED_VALUE"""),101)</f>
        <v>101</v>
      </c>
      <c r="B106" s="231" t="str">
        <f ca="1">IFERROR(__xludf.DUMMYFUNCTION("""COMPUTED_VALUE"""),"Shelter")</f>
        <v>Shelter</v>
      </c>
      <c r="C106" s="233" t="str">
        <f ca="1">IFERROR(__xludf.DUMMYFUNCTION("""COMPUTED_VALUE"""),"Enclosure")</f>
        <v>Enclosure</v>
      </c>
      <c r="D106" s="231" t="str">
        <f ca="1">IFERROR(__xludf.DUMMYFUNCTION("""COMPUTED_VALUE"""),"Impact")</f>
        <v>Impact</v>
      </c>
      <c r="E106" s="233" t="str">
        <f ca="1">IFERROR(__xludf.DUMMYFUNCTION("""COMPUTED_VALUE"""),"Impact on people")</f>
        <v>Impact on people</v>
      </c>
      <c r="F106" s="233" t="str">
        <f ca="1">IFERROR(__xludf.DUMMYFUNCTION("""COMPUTED_VALUE"""),"(Alternate) % of HHs whose original house was damaged resulting from the impacts of a disaster/conflict")</f>
        <v>(Alternate) % of HHs whose original house was damaged resulting from the impacts of a disaster/conflict</v>
      </c>
      <c r="G106" s="231"/>
      <c r="H106" s="231">
        <f ca="1">IFERROR(__xludf.DUMMYFUNCTION("""COMPUTED_VALUE"""),2)</f>
        <v>2</v>
      </c>
      <c r="I106" s="231" t="str">
        <f ca="1">IFERROR(__xludf.DUMMYFUNCTION("""COMPUTED_VALUE"""),"HH/KII")</f>
        <v>HH/KII</v>
      </c>
      <c r="J106" s="231" t="str">
        <f ca="1">IFERROR(__xludf.DUMMYFUNCTION("""COMPUTED_VALUE"""),"Shelter Cluster assessments")</f>
        <v>Shelter Cluster assessments</v>
      </c>
      <c r="K106" s="231" t="str">
        <f ca="1">IFERROR(__xludf.DUMMYFUNCTION("""COMPUTED_VALUE"""),"Household:  Dwelling unit remains structurally safe following the disaster/conflict and encloses the residents and their property so that they are warm, dry, and secure. Little or no intervention required.")</f>
        <v>Household:  Dwelling unit remains structurally safe following the disaster/conflict and encloses the residents and their property so that they are warm, dry, and secure. Little or no intervention required.</v>
      </c>
      <c r="L106" s="231" t="str">
        <f ca="1">IFERROR(__xludf.DUMMYFUNCTION("""COMPUTED_VALUE"""),"Household: Dwelling enclosure may show cosmetic deficiencies following disaster/conflict but maintains healthy structural and performance standards for enclosure with possible minor repairable deficiencies.")</f>
        <v>Household: Dwelling enclosure may show cosmetic deficiencies following disaster/conflict but maintains healthy structural and performance standards for enclosure with possible minor repairable deficiencies.</v>
      </c>
      <c r="M106" s="231" t="str">
        <f ca="1">IFERROR(__xludf.DUMMYFUNCTION("""COMPUTED_VALUE"""),"Household: Dwelling enclosure performance is moderately compromised due to disaster/conflict and extended living in this state can lead to health deterioration, loss or damage to possessions, or deterioration of building enclosure integrity. Repairs are r"&amp;"equired.")</f>
        <v>Household: Dwelling enclosure performance is moderately compromised due to disaster/conflict and extended living in this state can lead to health deterioration, loss or damage to possessions, or deterioration of building enclosure integrity. Repairs are required.</v>
      </c>
      <c r="N106" s="231" t="str">
        <f ca="1">IFERROR(__xludf.DUMMYFUNCTION("""COMPUTED_VALUE"""),"Household: Dwelling enclosure performance is significantly compromised due to disaster/conflict so that occupant health is at risk. Significant water/air permeance is present. Some minor privacy may be present but enclosure probably will not secure posses"&amp;"sions. Significant contruction required.")</f>
        <v>Household: Dwelling enclosure performance is significantly compromised due to disaster/conflict so that occupant health is at risk. Significant water/air permeance is present. Some minor privacy may be present but enclosure probably will not secure possessions. Significant contruction required.</v>
      </c>
      <c r="O106" s="231" t="str">
        <f ca="1">IFERROR(__xludf.DUMMYFUNCTION("""COMPUTED_VALUE"""),"Household: Total loss of building enclosure due to disaster/conflict with little or no prevention to water or weather permeance, unsafe and unhealthy living, and will require occupant to find new accomodation immediately and/or rebuild.")</f>
        <v>Household: Total loss of building enclosure due to disaster/conflict with little or no prevention to water or weather permeance, unsafe and unhealthy living, and will require occupant to find new accomodation immediately and/or rebuild.</v>
      </c>
      <c r="P106" s="232"/>
      <c r="Q106" s="215"/>
      <c r="R106" s="215"/>
      <c r="S106" s="215"/>
      <c r="T106" s="216"/>
      <c r="U106" s="216"/>
    </row>
    <row r="107" spans="1:21" ht="75" hidden="1">
      <c r="A107" s="202">
        <f ca="1">IFERROR(__xludf.DUMMYFUNCTION("""COMPUTED_VALUE"""),102)</f>
        <v>102</v>
      </c>
      <c r="B107" s="233" t="str">
        <f ca="1">IFERROR(__xludf.DUMMYFUNCTION("""COMPUTED_VALUE"""),"Shelter")</f>
        <v>Shelter</v>
      </c>
      <c r="C107" s="233" t="str">
        <f ca="1">IFERROR(__xludf.DUMMYFUNCTION("""COMPUTED_VALUE"""),"Settlement")</f>
        <v>Settlement</v>
      </c>
      <c r="D107" s="233" t="str">
        <f ca="1">IFERROR(__xludf.DUMMYFUNCTION("""COMPUTED_VALUE"""),"Impact")</f>
        <v>Impact</v>
      </c>
      <c r="E107" s="233" t="str">
        <f ca="1">IFERROR(__xludf.DUMMYFUNCTION("""COMPUTED_VALUE"""),"Impact on people")</f>
        <v>Impact on people</v>
      </c>
      <c r="F107" s="233" t="str">
        <f ca="1">IFERROR(__xludf.DUMMYFUNCTION("""COMPUTED_VALUE"""),"% of HHs who are displaced due to community/regional hazards")</f>
        <v>% of HHs who are displaced due to community/regional hazards</v>
      </c>
      <c r="G107" s="231"/>
      <c r="H107" s="231"/>
      <c r="I107" s="231"/>
      <c r="J107" s="231"/>
      <c r="K107" s="231" t="str">
        <f ca="1">IFERROR(__xludf.DUMMYFUNCTION("""COMPUTED_VALUE"""),"Household:  Household is not displaced due to community hazards.  no community hazards and been identified andHH is not displaced.")</f>
        <v>Household:  Household is not displaced due to community hazards.  no community hazards and been identified andHH is not displaced.</v>
      </c>
      <c r="L107" s="231" t="str">
        <f ca="1">IFERROR(__xludf.DUMMYFUNCTION("""COMPUTED_VALUE"""),"Household:  Household is not likely to displace despite present community hazards.")</f>
        <v>Household:  Household is not likely to displace despite present community hazards.</v>
      </c>
      <c r="M107" s="231" t="str">
        <f ca="1">IFERROR(__xludf.DUMMYFUNCTION("""COMPUTED_VALUE"""),"Household:  Hosuehold is considering displacement due to threat of community hazard.")</f>
        <v>Household:  Hosuehold is considering displacement due to threat of community hazard.</v>
      </c>
      <c r="N107" s="231" t="str">
        <f ca="1">IFERROR(__xludf.DUMMYFUNCTION("""COMPUTED_VALUE"""),"Household:  Household is going to imanently displaced due to present community hazards.")</f>
        <v>Household:  Household is going to imanently displaced due to present community hazards.</v>
      </c>
      <c r="O107" s="231" t="str">
        <f ca="1">IFERROR(__xludf.DUMMYFUNCTION("""COMPUTED_VALUE"""),"Household:  Household has been displaced due to community hazards (in their area of origin?)")</f>
        <v>Household:  Household has been displaced due to community hazards (in their area of origin?)</v>
      </c>
      <c r="P107" s="232"/>
      <c r="Q107" s="215"/>
      <c r="R107" s="215"/>
      <c r="S107" s="215"/>
      <c r="T107" s="216"/>
      <c r="U107" s="216"/>
    </row>
    <row r="108" spans="1:21" ht="75" hidden="1">
      <c r="A108" s="202">
        <f ca="1">IFERROR(__xludf.DUMMYFUNCTION("""COMPUTED_VALUE"""),103)</f>
        <v>103</v>
      </c>
      <c r="B108" s="231" t="str">
        <f ca="1">IFERROR(__xludf.DUMMYFUNCTION("""COMPUTED_VALUE"""),"Shelter")</f>
        <v>Shelter</v>
      </c>
      <c r="C108" s="233" t="str">
        <f ca="1">IFERROR(__xludf.DUMMYFUNCTION("""COMPUTED_VALUE"""),"Settlement")</f>
        <v>Settlement</v>
      </c>
      <c r="D108" s="233" t="str">
        <f ca="1">IFERROR(__xludf.DUMMYFUNCTION("""COMPUTED_VALUE"""),"Impact")</f>
        <v>Impact</v>
      </c>
      <c r="E108" s="233" t="str">
        <f ca="1">IFERROR(__xludf.DUMMYFUNCTION("""COMPUTED_VALUE"""),"Impact on people")</f>
        <v>Impact on people</v>
      </c>
      <c r="F108" s="233" t="str">
        <f ca="1">IFERROR(__xludf.DUMMYFUNCTION("""COMPUTED_VALUE"""),"% of HHs whose possessions are being affected by community/regional hazards")</f>
        <v>% of HHs whose possessions are being affected by community/regional hazards</v>
      </c>
      <c r="G108" s="231"/>
      <c r="H108" s="231"/>
      <c r="I108" s="231"/>
      <c r="J108" s="231"/>
      <c r="K108" s="233" t="str">
        <f ca="1">IFERROR(__xludf.DUMMYFUNCTION("""COMPUTED_VALUE"""),"Household possessions are secure.  No community hazards and been identified andHH possessions are not at risk.")</f>
        <v>Household possessions are secure.  No community hazards and been identified andHH possessions are not at risk.</v>
      </c>
      <c r="L108" s="233" t="str">
        <f ca="1">IFERROR(__xludf.DUMMYFUNCTION("""COMPUTED_VALUE"""),"Hosuehold:  Household possessions are currently intact although community hazards are present.")</f>
        <v>Hosuehold:  Household possessions are currently intact although community hazards are present.</v>
      </c>
      <c r="M108" s="233" t="str">
        <f ca="1">IFERROR(__xludf.DUMMYFUNCTION("""COMPUTED_VALUE"""),"Household:  Some household possessions have been damaged due to community hazards but some may be reclaimable.")</f>
        <v>Household:  Some household possessions have been damaged due to community hazards but some may be reclaimable.</v>
      </c>
      <c r="N108" s="233" t="str">
        <f ca="1">IFERROR(__xludf.DUMMYFUNCTION("""COMPUTED_VALUE"""),"Household:  Many household items have been damaged or destroyed due to community hazards.")</f>
        <v>Household:  Many household items have been damaged or destroyed due to community hazards.</v>
      </c>
      <c r="O108" s="233" t="str">
        <f ca="1">IFERROR(__xludf.DUMMYFUNCTION("""COMPUTED_VALUE"""),"Household:  Household has lost all of their possessions.")</f>
        <v>Household:  Household has lost all of their possessions.</v>
      </c>
      <c r="P108" s="232"/>
      <c r="Q108" s="215"/>
      <c r="R108" s="215"/>
      <c r="S108" s="215"/>
      <c r="T108" s="216"/>
      <c r="U108" s="216"/>
    </row>
    <row r="109" spans="1:21" ht="187.5" hidden="1">
      <c r="A109" s="202">
        <f ca="1">IFERROR(__xludf.DUMMYFUNCTION("""COMPUTED_VALUE"""),104)</f>
        <v>104</v>
      </c>
      <c r="B109" s="231" t="str">
        <f ca="1">IFERROR(__xludf.DUMMYFUNCTION("""COMPUTED_VALUE"""),"Shelter")</f>
        <v>Shelter</v>
      </c>
      <c r="C109" s="231" t="str">
        <f ca="1">IFERROR(__xludf.DUMMYFUNCTION("""COMPUTED_VALUE"""),"Settlement")</f>
        <v>Settlement</v>
      </c>
      <c r="D109" s="231" t="str">
        <f ca="1">IFERROR(__xludf.DUMMYFUNCTION("""COMPUTED_VALUE"""),"Humanitarian conditions")</f>
        <v>Humanitarian conditions</v>
      </c>
      <c r="E109" s="231" t="str">
        <f ca="1">IFERROR(__xludf.DUMMYFUNCTION("""COMPUTED_VALUE"""),"Living Standards")</f>
        <v>Living Standards</v>
      </c>
      <c r="F109" s="231" t="str">
        <f ca="1">IFERROR(__xludf.DUMMYFUNCTION("""COMPUTED_VALUE"""),"(alternate) % of HHs with safe access to market for shelter-related items within an acceptable amount of time or distance")</f>
        <v>(alternate) % of HHs with safe access to market for shelter-related items within an acceptable amount of time or distance</v>
      </c>
      <c r="G109" s="231"/>
      <c r="H109" s="231">
        <f ca="1">IFERROR(__xludf.DUMMYFUNCTION("""COMPUTED_VALUE"""),1)</f>
        <v>1</v>
      </c>
      <c r="I109" s="231" t="str">
        <f ca="1">IFERROR(__xludf.DUMMYFUNCTION("""COMPUTED_VALUE"""),"KII/HH")</f>
        <v>KII/HH</v>
      </c>
      <c r="J109" s="231" t="str">
        <f ca="1">IFERROR(__xludf.DUMMYFUNCTION("""COMPUTED_VALUE"""),"Shelter Cluster assessments")</f>
        <v>Shelter Cluster assessments</v>
      </c>
      <c r="K109" s="231" t="str">
        <f ca="1">IFERROR(__xludf.DUMMYFUNCTION("""COMPUTED_VALUE"""),"Overall:  HHs are able to physically access needed shelter materials/NFIs in markets, materials are affordable and good quality
Subset Market Access: HH has access to market for shelter/NFI items within a 30 min walking distance (one way)")</f>
        <v>Overall:  HHs are able to physically access needed shelter materials/NFIs in markets, materials are affordable and good quality
Subset Market Access: HH has access to market for shelter/NFI items within a 30 min walking distance (one way)</v>
      </c>
      <c r="L109" s="231" t="str">
        <f ca="1">IFERROR(__xludf.DUMMYFUNCTION("""COMPUTED_VALUE"""),"Overall:  HHs are able to physically access needed shelter materials/NFIs in markets, but materials are expensive or low quality
Subset Market Access: HH has access to market for shelter/NFI items within a one hour walking distance (one way)")</f>
        <v>Overall:  HHs are able to physically access needed shelter materials/NFIs in markets, but materials are expensive or low quality
Subset Market Access: HH has access to market for shelter/NFI items within a one hour walking distance (one way)</v>
      </c>
      <c r="M109" s="231" t="str">
        <f ca="1">IFERROR(__xludf.DUMMYFUNCTION("""COMPUTED_VALUE"""),"Overall:  HHs are able to physically access needed shelter materials/NFIs in markets, but materials are unaffordable AND poor quality
Subset Market Access: HH has access to market for shelter/NFI items within a 1h30 min walking distance (one way)")</f>
        <v>Overall:  HHs are able to physically access needed shelter materials/NFIs in markets, but materials are unaffordable AND poor quality
Subset Market Access: HH has access to market for shelter/NFI items within a 1h30 min walking distance (one way)</v>
      </c>
      <c r="N109" s="231" t="str">
        <f ca="1">IFERROR(__xludf.DUMMYFUNCTION("""COMPUTED_VALUE"""),"Overall: HHs are NOT able to physically access some needed shelter materials/NFIs in (functional) local markets. Shelter materials are unaffordable AND poor quality
Subset Market Access: Access to market for shelter/NFI items within a 2h walking distanc"&amp;"e (one way)")</f>
        <v>Overall: HHs are NOT able to physically access some needed shelter materials/NFIs in (functional) local markets. Shelter materials are unaffordable AND poor quality
Subset Market Access: Access to market for shelter/NFI items within a 2h walking distance (one way)</v>
      </c>
      <c r="O109" s="231" t="str">
        <f ca="1">IFERROR(__xludf.DUMMYFUNCTION("""COMPUTED_VALUE"""),"Overall: Markets for shelter-related items are not present or non-functional so there is no access to needed items.
Subset Market Access: No market for shelter/NFI items accessible within a 2h walking distance (one way)")</f>
        <v>Overall: Markets for shelter-related items are not present or non-functional so there is no access to needed items.
Subset Market Access: No market for shelter/NFI items accessible within a 2h walking distance (one way)</v>
      </c>
      <c r="P109" s="232"/>
      <c r="Q109" s="215"/>
      <c r="R109" s="215"/>
      <c r="S109" s="215"/>
      <c r="T109" s="216"/>
      <c r="U109" s="216"/>
    </row>
    <row r="110" spans="1:21" ht="162.5" hidden="1">
      <c r="A110" s="202">
        <f ca="1">IFERROR(__xludf.DUMMYFUNCTION("""COMPUTED_VALUE"""),105)</f>
        <v>105</v>
      </c>
      <c r="B110" s="231" t="str">
        <f ca="1">IFERROR(__xludf.DUMMYFUNCTION("""COMPUTED_VALUE"""),"Shelter")</f>
        <v>Shelter</v>
      </c>
      <c r="C110" s="231" t="str">
        <f ca="1">IFERROR(__xludf.DUMMYFUNCTION("""COMPUTED_VALUE"""),"Settlement")</f>
        <v>Settlement</v>
      </c>
      <c r="D110" s="231" t="str">
        <f ca="1">IFERROR(__xludf.DUMMYFUNCTION("""COMPUTED_VALUE"""),"Humanitarian conditions")</f>
        <v>Humanitarian conditions</v>
      </c>
      <c r="E110" s="231" t="str">
        <f ca="1">IFERROR(__xludf.DUMMYFUNCTION("""COMPUTED_VALUE"""),"Living Standards")</f>
        <v>Living Standards</v>
      </c>
      <c r="F110" s="231" t="str">
        <f ca="1">IFERROR(__xludf.DUMMYFUNCTION("""COMPUTED_VALUE"""),"% of HH with access to basic infrastructures and essential services")</f>
        <v>% of HH with access to basic infrastructures and essential services</v>
      </c>
      <c r="G110" s="231"/>
      <c r="H110" s="231">
        <f ca="1">IFERROR(__xludf.DUMMYFUNCTION("""COMPUTED_VALUE"""),1)</f>
        <v>1</v>
      </c>
      <c r="I110" s="231" t="str">
        <f ca="1">IFERROR(__xludf.DUMMYFUNCTION("""COMPUTED_VALUE"""),"KII/HH")</f>
        <v>KII/HH</v>
      </c>
      <c r="J110" s="231" t="str">
        <f ca="1">IFERROR(__xludf.DUMMYFUNCTION("""COMPUTED_VALUE"""),"Shelter Cluster assessments")</f>
        <v>Shelter Cluster assessments</v>
      </c>
      <c r="K110" s="231" t="str">
        <f ca="1">IFERROR(__xludf.DUMMYFUNCTION("""COMPUTED_VALUE"""),"Area:  Less than 10% of HH are settled in Severe or worse conditions
Household: Household has predictable access to essential (public) services and utilities (water, electricity, sewage), road access is clear, and easy access to functional local markets")</f>
        <v>Area:  Less than 10% of HH are settled in Severe or worse conditions
Household: Household has predictable access to essential (public) services and utilities (water, electricity, sewage), road access is clear, and easy access to functional local markets</v>
      </c>
      <c r="L110" s="231" t="str">
        <f ca="1">IFERROR(__xludf.DUMMYFUNCTION("""COMPUTED_VALUE"""),"Area:  More than 10% of HH are settled in Severe or worse conditions
Household:  Household is lightly impaired through (predictable) disruptions to essential services")</f>
        <v>Area:  More than 10% of HH are settled in Severe or worse conditions
Household:  Household is lightly impaired through (predictable) disruptions to essential services</v>
      </c>
      <c r="M110" s="231" t="str">
        <f ca="1">IFERROR(__xludf.DUMMYFUNCTION("""COMPUTED_VALUE"""),"Area: More than 20% of HH are settled in Severe or worse conditions
Household: Household is moderately impaired by substantial disruptions to essential services or utilities, road access and accessibility to markets")</f>
        <v>Area: More than 20% of HH are settled in Severe or worse conditions
Household: Household is moderately impaired by substantial disruptions to essential services or utilities, road access and accessibility to markets</v>
      </c>
      <c r="N110" s="231" t="str">
        <f ca="1">IFERROR(__xludf.DUMMYFUNCTION("""COMPUTED_VALUE"""),"Area: More than 20% of HH are settled in Extreme or Catastrophic conditions
Household: Household is severely impaired by disruptions to services, utilities, road access and market functionality.")</f>
        <v>Area: More than 20% of HH are settled in Extreme or Catastrophic conditions
Household: Household is severely impaired by disruptions to services, utilities, road access and market functionality.</v>
      </c>
      <c r="O110" s="231" t="str">
        <f ca="1">IFERROR(__xludf.DUMMYFUNCTION("""COMPUTED_VALUE"""),"Area: More than 40% of HH are settled in Extreme or Catastrophic conditions
Household: Household is completely impaired through isolation from all essential services, road access, and market access")</f>
        <v>Area: More than 40% of HH are settled in Extreme or Catastrophic conditions
Household: Household is completely impaired through isolation from all essential services, road access, and market access</v>
      </c>
      <c r="P110" s="232"/>
      <c r="Q110" s="215"/>
      <c r="R110" s="215"/>
      <c r="S110" s="215"/>
      <c r="T110" s="216"/>
      <c r="U110" s="216"/>
    </row>
    <row r="111" spans="1:21" ht="125" hidden="1">
      <c r="A111" s="202">
        <f ca="1">IFERROR(__xludf.DUMMYFUNCTION("""COMPUTED_VALUE"""),106)</f>
        <v>106</v>
      </c>
      <c r="B111" s="231" t="str">
        <f ca="1">IFERROR(__xludf.DUMMYFUNCTION("""COMPUTED_VALUE"""),"Shelter")</f>
        <v>Shelter</v>
      </c>
      <c r="C111" s="233" t="str">
        <f ca="1">IFERROR(__xludf.DUMMYFUNCTION("""COMPUTED_VALUE"""),"Settlement")</f>
        <v>Settlement</v>
      </c>
      <c r="D111" s="231" t="str">
        <f ca="1">IFERROR(__xludf.DUMMYFUNCTION("""COMPUTED_VALUE"""),"Humanitarian conditions")</f>
        <v>Humanitarian conditions</v>
      </c>
      <c r="E111" s="231" t="str">
        <f ca="1">IFERROR(__xludf.DUMMYFUNCTION("""COMPUTED_VALUE"""),"Living Standards")</f>
        <v>Living Standards</v>
      </c>
      <c r="F111" s="233" t="str">
        <f ca="1">IFERROR(__xludf.DUMMYFUNCTION("""COMPUTED_VALUE"""),"% of HHs who are currently living in unsafe/unhealthy areas affected by community hazards")</f>
        <v>% of HHs who are currently living in unsafe/unhealthy areas affected by community hazards</v>
      </c>
      <c r="G111" s="231"/>
      <c r="H111" s="231"/>
      <c r="I111" s="231"/>
      <c r="J111" s="231"/>
      <c r="K111" s="233" t="str">
        <f ca="1">IFERROR(__xludf.DUMMYFUNCTION("""COMPUTED_VALUE"""),"Household:  Household is safe and protected from community hazards.  no community hazards have been identified")</f>
        <v>Household:  Household is safe and protected from community hazards.  no community hazards have been identified</v>
      </c>
      <c r="L111" s="233" t="str">
        <f ca="1">IFERROR(__xludf.DUMMYFUNCTION("""COMPUTED_VALUE"""),"Household:  Household is mostly safe and protected from community hazards.  Some community hazards are present but household is isolated from them.")</f>
        <v>Household:  Household is mostly safe and protected from community hazards.  Some community hazards are present but household is isolated from them.</v>
      </c>
      <c r="M111" s="233" t="str">
        <f ca="1">IFERROR(__xludf.DUMMYFUNCTION("""COMPUTED_VALUE"""),"Household:  Household is moderately unsafe due to community level hazards.  Community hazards have been identified and although the household may not have been affected yet there is a high likelihood of impact.")</f>
        <v>Household:  Household is moderately unsafe due to community level hazards.  Community hazards have been identified and although the household may not have been affected yet there is a high likelihood of impact.</v>
      </c>
      <c r="N111" s="233" t="str">
        <f ca="1">IFERROR(__xludf.DUMMYFUNCTION("""COMPUTED_VALUE"""),"Household:  Household is severely unsafe due to community hazards.  Hazards are present and the household has been affected.")</f>
        <v>Household:  Household is severely unsafe due to community hazards.  Hazards are present and the household has been affected.</v>
      </c>
      <c r="O111" s="233" t="str">
        <f ca="1">IFERROR(__xludf.DUMMYFUNCTION("""COMPUTED_VALUE"""),"Household:  Household is severely unsafe due to community hazards.  Hazards are present and the household has been irreversibly affected.")</f>
        <v>Household:  Household is severely unsafe due to community hazards.  Hazards are present and the household has been irreversibly affected.</v>
      </c>
      <c r="P111" s="232"/>
      <c r="Q111" s="215"/>
      <c r="R111" s="215"/>
      <c r="S111" s="215"/>
      <c r="T111" s="216"/>
      <c r="U111" s="216"/>
    </row>
    <row r="112" spans="1:21" ht="125" hidden="1">
      <c r="A112" s="202">
        <f ca="1">IFERROR(__xludf.DUMMYFUNCTION("""COMPUTED_VALUE"""),107)</f>
        <v>107</v>
      </c>
      <c r="B112" s="231" t="str">
        <f ca="1">IFERROR(__xludf.DUMMYFUNCTION("""COMPUTED_VALUE"""),"Shelter")</f>
        <v>Shelter</v>
      </c>
      <c r="C112" s="231" t="str">
        <f ca="1">IFERROR(__xludf.DUMMYFUNCTION("""COMPUTED_VALUE"""),"Settlement")</f>
        <v>Settlement</v>
      </c>
      <c r="D112" s="231" t="str">
        <f ca="1">IFERROR(__xludf.DUMMYFUNCTION("""COMPUTED_VALUE"""),"Humanitarian conditions")</f>
        <v>Humanitarian conditions</v>
      </c>
      <c r="E112" s="231" t="str">
        <f ca="1">IFERROR(__xludf.DUMMYFUNCTION("""COMPUTED_VALUE"""),"Living Standards")</f>
        <v>Living Standards</v>
      </c>
      <c r="F112" s="231" t="str">
        <f ca="1">IFERROR(__xludf.DUMMYFUNCTION("""COMPUTED_VALUE"""),"% of HHs without clear security of tenure within their community")</f>
        <v>% of HHs without clear security of tenure within their community</v>
      </c>
      <c r="G112" s="231"/>
      <c r="H112" s="231">
        <f ca="1">IFERROR(__xludf.DUMMYFUNCTION("""COMPUTED_VALUE"""),1)</f>
        <v>1</v>
      </c>
      <c r="I112" s="231" t="str">
        <f ca="1">IFERROR(__xludf.DUMMYFUNCTION("""COMPUTED_VALUE"""),"KII/HH")</f>
        <v>KII/HH</v>
      </c>
      <c r="J112" s="231" t="str">
        <f ca="1">IFERROR(__xludf.DUMMYFUNCTION("""COMPUTED_VALUE"""),"Shelter Cluster assessments")</f>
        <v>Shelter Cluster assessments</v>
      </c>
      <c r="K112" s="231" t="str">
        <f ca="1">IFERROR(__xludf.DUMMYFUNCTION("""COMPUTED_VALUE"""),"Less than 10% of HH are settled in Severe or worse conditions
Household: HH has tenure security with no HLP issues (clear ownership, rental agreements, rights are enforced, etc.)")</f>
        <v>Less than 10% of HH are settled in Severe or worse conditions
Household: HH has tenure security with no HLP issues (clear ownership, rental agreements, rights are enforced, etc.)</v>
      </c>
      <c r="L112" s="231" t="str">
        <f ca="1">IFERROR(__xludf.DUMMYFUNCTION("""COMPUTED_VALUE"""),"More than 10% of HH are settled in Severe or worse conditions
Household:  HH has tenure security with minor HLP issues")</f>
        <v>More than 10% of HH are settled in Severe or worse conditions
Household:  HH has tenure security with minor HLP issues</v>
      </c>
      <c r="M112" s="231" t="str">
        <f ca="1">IFERROR(__xludf.DUMMYFUNCTION("""COMPUTED_VALUE"""),"More than 20% of HH are settled in Severe or worse conditions
 Household: HH has tenure security with significant HLP issues")</f>
        <v>More than 20% of HH are settled in Severe or worse conditions
 Household: HH has tenure security with significant HLP issues</v>
      </c>
      <c r="N112" s="231" t="str">
        <f ca="1">IFERROR(__xludf.DUMMYFUNCTION("""COMPUTED_VALUE"""),"More than 20% of HH are settled in Extreme or Catastrophic conditions
Household:  HH has no tenure security with significant HLP issues")</f>
        <v>More than 20% of HH are settled in Extreme or Catastrophic conditions
Household:  HH has no tenure security with significant HLP issues</v>
      </c>
      <c r="O112" s="231" t="str">
        <f ca="1">IFERROR(__xludf.DUMMYFUNCTION("""COMPUTED_VALUE"""),"More than 40% of HH are settled in Extreme or Catastrophic conditions
 Household: HH has no tenure security and is evicted with major HLP issues")</f>
        <v>More than 40% of HH are settled in Extreme or Catastrophic conditions
 Household: HH has no tenure security and is evicted with major HLP issues</v>
      </c>
      <c r="P112" s="232"/>
      <c r="Q112" s="215"/>
      <c r="R112" s="215"/>
      <c r="S112" s="215"/>
      <c r="T112" s="216"/>
      <c r="U112" s="216"/>
    </row>
    <row r="113" spans="1:21" ht="50" hidden="1">
      <c r="A113" s="202">
        <f ca="1">IFERROR(__xludf.DUMMYFUNCTION("""COMPUTED_VALUE"""),108)</f>
        <v>108</v>
      </c>
      <c r="B113" s="235" t="str">
        <f ca="1">IFERROR(__xludf.DUMMYFUNCTION("""COMPUTED_VALUE"""),"WASH")</f>
        <v>WASH</v>
      </c>
      <c r="C113" s="235" t="str">
        <f ca="1">IFERROR(__xludf.DUMMYFUNCTION("""COMPUTED_VALUE"""),"Hygiene")</f>
        <v>Hygiene</v>
      </c>
      <c r="D113" s="235" t="str">
        <f ca="1">IFERROR(__xludf.DUMMYFUNCTION("""COMPUTED_VALUE"""),"Humanitarian conditions")</f>
        <v>Humanitarian conditions</v>
      </c>
      <c r="E113" s="235" t="str">
        <f ca="1">IFERROR(__xludf.DUMMYFUNCTION("""COMPUTED_VALUE"""),"Coping Mechanisms")</f>
        <v>Coping Mechanisms</v>
      </c>
      <c r="F113" s="235" t="str">
        <f ca="1">IFERROR(__xludf.DUMMYFUNCTION("""COMPUTED_VALUE"""),"% of HHs engaging in negative coping mechanisms to WASH access issues")</f>
        <v>% of HHs engaging in negative coping mechanisms to WASH access issues</v>
      </c>
      <c r="G113" s="235"/>
      <c r="H113" s="235">
        <f ca="1">IFERROR(__xludf.DUMMYFUNCTION("""COMPUTED_VALUE"""),3)</f>
        <v>3</v>
      </c>
      <c r="I113" s="235" t="str">
        <f ca="1">IFERROR(__xludf.DUMMYFUNCTION("""COMPUTED_VALUE"""),"HH survey / KI")</f>
        <v>HH survey / KI</v>
      </c>
      <c r="J113" s="235" t="str">
        <f ca="1">IFERROR(__xludf.DUMMYFUNCTION("""COMPUTED_VALUE"""),"WASH Specific assessments / MSNA / DTM")</f>
        <v>WASH Specific assessments / MSNA / DTM</v>
      </c>
      <c r="K113" s="235" t="str">
        <f ca="1">IFERROR(__xludf.DUMMYFUNCTION("""COMPUTED_VALUE"""),"0-20")</f>
        <v>0-20</v>
      </c>
      <c r="L113" s="235" t="str">
        <f ca="1">IFERROR(__xludf.DUMMYFUNCTION("""COMPUTED_VALUE"""),"21-40")</f>
        <v>21-40</v>
      </c>
      <c r="M113" s="235" t="str">
        <f ca="1">IFERROR(__xludf.DUMMYFUNCTION("""COMPUTED_VALUE"""),"41-60")</f>
        <v>41-60</v>
      </c>
      <c r="N113" s="235" t="str">
        <f ca="1">IFERROR(__xludf.DUMMYFUNCTION("""COMPUTED_VALUE"""),"61-80")</f>
        <v>61-80</v>
      </c>
      <c r="O113" s="235" t="str">
        <f ca="1">IFERROR(__xludf.DUMMYFUNCTION("""COMPUTED_VALUE"""),"81-100")</f>
        <v>81-100</v>
      </c>
      <c r="P113" s="236"/>
      <c r="Q113" s="215"/>
      <c r="R113" s="215"/>
      <c r="S113" s="215"/>
      <c r="T113" s="216"/>
      <c r="U113" s="216"/>
    </row>
    <row r="114" spans="1:21" ht="62.5" hidden="1">
      <c r="A114" s="202">
        <f ca="1">IFERROR(__xludf.DUMMYFUNCTION("""COMPUTED_VALUE"""),109)</f>
        <v>109</v>
      </c>
      <c r="B114" s="235" t="str">
        <f ca="1">IFERROR(__xludf.DUMMYFUNCTION("""COMPUTED_VALUE"""),"WASH")</f>
        <v>WASH</v>
      </c>
      <c r="C114" s="235" t="str">
        <f ca="1">IFERROR(__xludf.DUMMYFUNCTION("""COMPUTED_VALUE"""),"Hygiene")</f>
        <v>Hygiene</v>
      </c>
      <c r="D114" s="235" t="str">
        <f ca="1">IFERROR(__xludf.DUMMYFUNCTION("""COMPUTED_VALUE"""),"Humanitarian conditions")</f>
        <v>Humanitarian conditions</v>
      </c>
      <c r="E114" s="235" t="str">
        <f ca="1">IFERROR(__xludf.DUMMYFUNCTION("""COMPUTED_VALUE"""),"Physical and Mental Wellbeing")</f>
        <v>Physical and Mental Wellbeing</v>
      </c>
      <c r="F114" s="235" t="str">
        <f ca="1">IFERROR(__xludf.DUMMYFUNCTION("""COMPUTED_VALUE"""),"% of HHs having access to sufficient handwashing facilities")</f>
        <v>% of HHs having access to sufficient handwashing facilities</v>
      </c>
      <c r="G114" s="235"/>
      <c r="H114" s="235">
        <f ca="1">IFERROR(__xludf.DUMMYFUNCTION("""COMPUTED_VALUE"""),1)</f>
        <v>1</v>
      </c>
      <c r="I114" s="235" t="str">
        <f ca="1">IFERROR(__xludf.DUMMYFUNCTION("""COMPUTED_VALUE"""),"HH survey / KI")</f>
        <v>HH survey / KI</v>
      </c>
      <c r="J114" s="235" t="str">
        <f ca="1">IFERROR(__xludf.DUMMYFUNCTION("""COMPUTED_VALUE"""),"WASH Specific assessments / MSNA / DTM")</f>
        <v>WASH Specific assessments / MSNA / DTM</v>
      </c>
      <c r="K114" s="235" t="str">
        <f ca="1">IFERROR(__xludf.DUMMYFUNCTION("""COMPUTED_VALUE"""),"Soap is available at home AND handwashing facility is on premises with soap and water available")</f>
        <v>Soap is available at home AND handwashing facility is on premises with soap and water available</v>
      </c>
      <c r="L114" s="235"/>
      <c r="M114" s="235" t="str">
        <f ca="1">IFERROR(__xludf.DUMMYFUNCTION("""COMPUTED_VALUE"""),"Soap is available at home BUT no handwashing facility on premises with soap and water")</f>
        <v>Soap is available at home BUT no handwashing facility on premises with soap and water</v>
      </c>
      <c r="N114" s="235"/>
      <c r="O114" s="235" t="str">
        <f ca="1">IFERROR(__xludf.DUMMYFUNCTION("""COMPUTED_VALUE"""),"Soap is not available at home")</f>
        <v>Soap is not available at home</v>
      </c>
      <c r="P114" s="236"/>
      <c r="Q114" s="215"/>
      <c r="R114" s="215"/>
      <c r="S114" s="215"/>
      <c r="T114" s="216"/>
      <c r="U114" s="216"/>
    </row>
    <row r="115" spans="1:21" ht="100" hidden="1">
      <c r="A115" s="202">
        <f ca="1">IFERROR(__xludf.DUMMYFUNCTION("""COMPUTED_VALUE"""),110)</f>
        <v>110</v>
      </c>
      <c r="B115" s="235" t="str">
        <f ca="1">IFERROR(__xludf.DUMMYFUNCTION("""COMPUTED_VALUE"""),"WASH")</f>
        <v>WASH</v>
      </c>
      <c r="C115" s="235" t="str">
        <f ca="1">IFERROR(__xludf.DUMMYFUNCTION("""COMPUTED_VALUE"""),"Sanitation")</f>
        <v>Sanitation</v>
      </c>
      <c r="D115" s="235" t="str">
        <f ca="1">IFERROR(__xludf.DUMMYFUNCTION("""COMPUTED_VALUE"""),"Humanitarian conditions")</f>
        <v>Humanitarian conditions</v>
      </c>
      <c r="E115" s="235" t="str">
        <f ca="1">IFERROR(__xludf.DUMMYFUNCTION("""COMPUTED_VALUE"""),"Living Standards")</f>
        <v>Living Standards</v>
      </c>
      <c r="F115" s="235" t="str">
        <f ca="1">IFERROR(__xludf.DUMMYFUNCTION("""COMPUTED_VALUE"""),"% of HHs facing environmental sanitation problems (living in areas where solid waste, waterwaste, open defecation was visible around their accommodation - 30 meters or less)")</f>
        <v>% of HHs facing environmental sanitation problems (living in areas where solid waste, waterwaste, open defecation was visible around their accommodation - 30 meters or less)</v>
      </c>
      <c r="G115" s="235"/>
      <c r="H115" s="235">
        <f ca="1">IFERROR(__xludf.DUMMYFUNCTION("""COMPUTED_VALUE"""),3)</f>
        <v>3</v>
      </c>
      <c r="I115" s="235" t="str">
        <f ca="1">IFERROR(__xludf.DUMMYFUNCTION("""COMPUTED_VALUE"""),"HH survey / KI")</f>
        <v>HH survey / KI</v>
      </c>
      <c r="J115" s="235" t="str">
        <f ca="1">IFERROR(__xludf.DUMMYFUNCTION("""COMPUTED_VALUE"""),"WASH Specific assessments / MSNA / DTM")</f>
        <v>WASH Specific assessments / MSNA / DTM</v>
      </c>
      <c r="K115" s="235" t="str">
        <f ca="1">IFERROR(__xludf.DUMMYFUNCTION("""COMPUTED_VALUE"""),"No environmental hazard was always visible")</f>
        <v>No environmental hazard was always visible</v>
      </c>
      <c r="L115" s="235" t="str">
        <f ca="1">IFERROR(__xludf.DUMMYFUNCTION("""COMPUTED_VALUE"""),"At least one environmental hazard was always visible")</f>
        <v>At least one environmental hazard was always visible</v>
      </c>
      <c r="M115" s="235" t="str">
        <f ca="1">IFERROR(__xludf.DUMMYFUNCTION("""COMPUTED_VALUE"""),"At least two environmental hazards were always visible")</f>
        <v>At least two environmental hazards were always visible</v>
      </c>
      <c r="N115" s="235" t="str">
        <f ca="1">IFERROR(__xludf.DUMMYFUNCTION("""COMPUTED_VALUE"""),"At least three environmental hazards were always visible")</f>
        <v>At least three environmental hazards were always visible</v>
      </c>
      <c r="O115" s="235" t="str">
        <f ca="1">IFERROR(__xludf.DUMMYFUNCTION("""COMPUTED_VALUE"""),"At least four environmental hazards were always visible")</f>
        <v>At least four environmental hazards were always visible</v>
      </c>
      <c r="P115" s="236"/>
      <c r="Q115" s="215"/>
      <c r="R115" s="215"/>
      <c r="S115" s="215"/>
      <c r="T115" s="216"/>
      <c r="U115" s="216"/>
    </row>
    <row r="116" spans="1:21" ht="62.5" hidden="1">
      <c r="A116" s="202">
        <f ca="1">IFERROR(__xludf.DUMMYFUNCTION("""COMPUTED_VALUE"""),111)</f>
        <v>111</v>
      </c>
      <c r="B116" s="235" t="str">
        <f ca="1">IFERROR(__xludf.DUMMYFUNCTION("""COMPUTED_VALUE"""),"WASH")</f>
        <v>WASH</v>
      </c>
      <c r="C116" s="235" t="str">
        <f ca="1">IFERROR(__xludf.DUMMYFUNCTION("""COMPUTED_VALUE"""),"Sanitation")</f>
        <v>Sanitation</v>
      </c>
      <c r="D116" s="235" t="str">
        <f ca="1">IFERROR(__xludf.DUMMYFUNCTION("""COMPUTED_VALUE"""),"Humanitarian conditions")</f>
        <v>Humanitarian conditions</v>
      </c>
      <c r="E116" s="235" t="str">
        <f ca="1">IFERROR(__xludf.DUMMYFUNCTION("""COMPUTED_VALUE"""),"Physical and Mental Wellbeing")</f>
        <v>Physical and Mental Wellbeing</v>
      </c>
      <c r="F116" s="235" t="str">
        <f ca="1">IFERROR(__xludf.DUMMYFUNCTION("""COMPUTED_VALUE"""),"% of HHs having sufficient access to a functionnal and improved sanitation facility")</f>
        <v>% of HHs having sufficient access to a functionnal and improved sanitation facility</v>
      </c>
      <c r="G116" s="235"/>
      <c r="H116" s="235">
        <f ca="1">IFERROR(__xludf.DUMMYFUNCTION("""COMPUTED_VALUE"""),1)</f>
        <v>1</v>
      </c>
      <c r="I116" s="235" t="str">
        <f ca="1">IFERROR(__xludf.DUMMYFUNCTION("""COMPUTED_VALUE"""),"HH survey / KI")</f>
        <v>HH survey / KI</v>
      </c>
      <c r="J116" s="235" t="str">
        <f ca="1">IFERROR(__xludf.DUMMYFUNCTION("""COMPUTED_VALUE"""),"WASH Specific assessments / MSNA / DTM")</f>
        <v>WASH Specific assessments / MSNA / DTM</v>
      </c>
      <c r="K116" s="235" t="str">
        <f ca="1">IFERROR(__xludf.DUMMYFUNCTION("""COMPUTED_VALUE"""),"Access to improved sanitation facilities, not shared with other households")</f>
        <v>Access to improved sanitation facilities, not shared with other households</v>
      </c>
      <c r="L116" s="235" t="str">
        <f ca="1">IFERROR(__xludf.DUMMYFUNCTION("""COMPUTED_VALUE"""),"Access to improved sanitation facilities, shared with less than 20 people")</f>
        <v>Access to improved sanitation facilities, shared with less than 20 people</v>
      </c>
      <c r="M116" s="235" t="str">
        <f ca="1">IFERROR(__xludf.DUMMYFUNCTION("""COMPUTED_VALUE"""),"Access to improved sanitation facilities, shared with more than 20 people")</f>
        <v>Access to improved sanitation facilities, shared with more than 20 people</v>
      </c>
      <c r="N116" s="235" t="str">
        <f ca="1">IFERROR(__xludf.DUMMYFUNCTION("""COMPUTED_VALUE"""),"Access to unimproved facilities OR access to improved facilities shared with more than 50 people")</f>
        <v>Access to unimproved facilities OR access to improved facilities shared with more than 50 people</v>
      </c>
      <c r="O116" s="235" t="str">
        <f ca="1">IFERROR(__xludf.DUMMYFUNCTION("""COMPUTED_VALUE"""),"Disposal of human faeces in open spaces or with solid waste")</f>
        <v>Disposal of human faeces in open spaces or with solid waste</v>
      </c>
      <c r="P116" s="236"/>
      <c r="Q116" s="215"/>
      <c r="R116" s="215"/>
      <c r="S116" s="215"/>
      <c r="T116" s="216"/>
      <c r="U116" s="216"/>
    </row>
    <row r="117" spans="1:21" ht="87.5" hidden="1">
      <c r="A117" s="202">
        <f ca="1">IFERROR(__xludf.DUMMYFUNCTION("""COMPUTED_VALUE"""),112)</f>
        <v>112</v>
      </c>
      <c r="B117" s="235" t="str">
        <f ca="1">IFERROR(__xludf.DUMMYFUNCTION("""COMPUTED_VALUE"""),"WASH")</f>
        <v>WASH</v>
      </c>
      <c r="C117" s="235" t="str">
        <f ca="1">IFERROR(__xludf.DUMMYFUNCTION("""COMPUTED_VALUE"""),"Water")</f>
        <v>Water</v>
      </c>
      <c r="D117" s="235" t="str">
        <f ca="1">IFERROR(__xludf.DUMMYFUNCTION("""COMPUTED_VALUE"""),"Humanitarian conditions")</f>
        <v>Humanitarian conditions</v>
      </c>
      <c r="E117" s="235" t="str">
        <f ca="1">IFERROR(__xludf.DUMMYFUNCTION("""COMPUTED_VALUE"""),"Physical and Mental Wellbeing")</f>
        <v>Physical and Mental Wellbeing</v>
      </c>
      <c r="F117" s="235" t="str">
        <f ca="1">IFERROR(__xludf.DUMMYFUNCTION("""COMPUTED_VALUE"""),"% of HHs having access to a sufficient quantity of water for drinking, cooking, bathing, washing or other domestic use")</f>
        <v>% of HHs having access to a sufficient quantity of water for drinking, cooking, bathing, washing or other domestic use</v>
      </c>
      <c r="G117" s="235"/>
      <c r="H117" s="235">
        <f ca="1">IFERROR(__xludf.DUMMYFUNCTION("""COMPUTED_VALUE"""),2)</f>
        <v>2</v>
      </c>
      <c r="I117" s="235" t="str">
        <f ca="1">IFERROR(__xludf.DUMMYFUNCTION("""COMPUTED_VALUE"""),"HH survey / KI")</f>
        <v>HH survey / KI</v>
      </c>
      <c r="J117" s="235" t="str">
        <f ca="1">IFERROR(__xludf.DUMMYFUNCTION("""COMPUTED_VALUE"""),"WASH Specific assessments / MSNA / DTM")</f>
        <v>WASH Specific assessments / MSNA / DTM</v>
      </c>
      <c r="K117" s="235" t="str">
        <f ca="1">IFERROR(__xludf.DUMMYFUNCTION("""COMPUTED_VALUE"""),"Enough water for drinking, cooking, personal hygiene and other domestic purposes OR more than 50 l/d/p")</f>
        <v>Enough water for drinking, cooking, personal hygiene and other domestic purposes OR more than 50 l/d/p</v>
      </c>
      <c r="L117" s="235" t="str">
        <f ca="1">IFERROR(__xludf.DUMMYFUNCTION("""COMPUTED_VALUE"""),"Enough water for drinking AND cooking AND personal hygiene, BUT NOT for other domestic purposes OR 15 or more but less than 50 l/d/p")</f>
        <v>Enough water for drinking AND cooking AND personal hygiene, BUT NOT for other domestic purposes OR 15 or more but less than 50 l/d/p</v>
      </c>
      <c r="M117" s="235" t="str">
        <f ca="1">IFERROR(__xludf.DUMMYFUNCTION("""COMPUTED_VALUE"""),"Enough water for drinking AND EITHER cooking OR personal hygiene OR 9 or more but less than 15 l/d/p")</f>
        <v>Enough water for drinking AND EITHER cooking OR personal hygiene OR 9 or more but less than 15 l/d/p</v>
      </c>
      <c r="N117" s="235" t="str">
        <f ca="1">IFERROR(__xludf.DUMMYFUNCTION("""COMPUTED_VALUE"""),"Enough water for drinking BUT NOT for cooking AND personal hygiene OR 3 or more but less than 9 l/d/p")</f>
        <v>Enough water for drinking BUT NOT for cooking AND personal hygiene OR 3 or more but less than 9 l/d/p</v>
      </c>
      <c r="O117" s="235" t="str">
        <f ca="1">IFERROR(__xludf.DUMMYFUNCTION("""COMPUTED_VALUE"""),"Not enough water for drinking OR Less than 3 l/d/p")</f>
        <v>Not enough water for drinking OR Less than 3 l/d/p</v>
      </c>
      <c r="P117" s="236"/>
      <c r="Q117" s="215"/>
      <c r="R117" s="215"/>
      <c r="S117" s="215"/>
      <c r="T117" s="216"/>
      <c r="U117" s="216"/>
    </row>
    <row r="118" spans="1:21" ht="75" hidden="1">
      <c r="A118" s="202">
        <f ca="1">IFERROR(__xludf.DUMMYFUNCTION("""COMPUTED_VALUE"""),113)</f>
        <v>113</v>
      </c>
      <c r="B118" s="235" t="str">
        <f ca="1">IFERROR(__xludf.DUMMYFUNCTION("""COMPUTED_VALUE"""),"WASH")</f>
        <v>WASH</v>
      </c>
      <c r="C118" s="235" t="str">
        <f ca="1">IFERROR(__xludf.DUMMYFUNCTION("""COMPUTED_VALUE"""),"Water")</f>
        <v>Water</v>
      </c>
      <c r="D118" s="235" t="str">
        <f ca="1">IFERROR(__xludf.DUMMYFUNCTION("""COMPUTED_VALUE"""),"Humanitarian Conditions")</f>
        <v>Humanitarian Conditions</v>
      </c>
      <c r="E118" s="235" t="str">
        <f ca="1">IFERROR(__xludf.DUMMYFUNCTION("""COMPUTED_VALUE"""),"Physical and Mental Wellbeing")</f>
        <v>Physical and Mental Wellbeing</v>
      </c>
      <c r="F118" s="235" t="str">
        <f ca="1">IFERROR(__xludf.DUMMYFUNCTION("""COMPUTED_VALUE"""),"% of HHs having access to water sources of sufficient quality and availability")</f>
        <v>% of HHs having access to water sources of sufficient quality and availability</v>
      </c>
      <c r="G118" s="235"/>
      <c r="H118" s="235">
        <f ca="1">IFERROR(__xludf.DUMMYFUNCTION("""COMPUTED_VALUE"""),1)</f>
        <v>1</v>
      </c>
      <c r="I118" s="235" t="str">
        <f ca="1">IFERROR(__xludf.DUMMYFUNCTION("""COMPUTED_VALUE"""),"HH survey / KI")</f>
        <v>HH survey / KI</v>
      </c>
      <c r="J118" s="235" t="str">
        <f ca="1">IFERROR(__xludf.DUMMYFUNCTION("""COMPUTED_VALUE"""),"WASH Specific assessments / MSNA / DTM")</f>
        <v>WASH Specific assessments / MSNA / DTM</v>
      </c>
      <c r="K118" s="235" t="str">
        <f ca="1">IFERROR(__xludf.DUMMYFUNCTION("""COMPUTED_VALUE"""),"Water comes from an improved water source which is located on premises")</f>
        <v>Water comes from an improved water source which is located on premises</v>
      </c>
      <c r="L118" s="235" t="str">
        <f ca="1">IFERROR(__xludf.DUMMYFUNCTION("""COMPUTED_VALUE"""),"Water comes from an improved water source, provided collection time is not more than 30 minutes for a roundtrip, including queuing")</f>
        <v>Water comes from an improved water source, provided collection time is not more than 30 minutes for a roundtrip, including queuing</v>
      </c>
      <c r="M118" s="235" t="str">
        <f ca="1">IFERROR(__xludf.DUMMYFUNCTION("""COMPUTED_VALUE"""),"Water comes from an improved source for which collection time exceeds 30 minutes for a roundtrip, including queuing")</f>
        <v>Water comes from an improved source for which collection time exceeds 30 minutes for a roundtrip, including queuing</v>
      </c>
      <c r="N118" s="235" t="str">
        <f ca="1">IFERROR(__xludf.DUMMYFUNCTION("""COMPUTED_VALUE"""),"Water comes from an unimproved water source")</f>
        <v>Water comes from an unimproved water source</v>
      </c>
      <c r="O118" s="235" t="str">
        <f ca="1">IFERROR(__xludf.DUMMYFUNCTION("""COMPUTED_VALUE"""),"Water comes directly from rivers, lakes, ponds, etc.")</f>
        <v>Water comes directly from rivers, lakes, ponds, etc.</v>
      </c>
      <c r="P118" s="236"/>
      <c r="Q118" s="215"/>
      <c r="R118" s="215"/>
      <c r="S118" s="215"/>
      <c r="T118" s="216"/>
      <c r="U118" s="216"/>
    </row>
    <row r="119" spans="1:21">
      <c r="A119" s="190"/>
      <c r="B119" s="190"/>
      <c r="C119" s="190"/>
      <c r="D119" s="190"/>
      <c r="E119" s="190"/>
      <c r="F119" s="190"/>
      <c r="G119" s="190"/>
      <c r="H119" s="190"/>
      <c r="I119" s="190"/>
      <c r="J119" s="190"/>
      <c r="K119" s="190"/>
      <c r="L119" s="190"/>
      <c r="M119" s="190"/>
      <c r="N119" s="190"/>
      <c r="O119" s="190"/>
      <c r="P119" s="190"/>
    </row>
    <row r="120" spans="1:21">
      <c r="A120" s="190"/>
      <c r="B120" s="190"/>
      <c r="C120" s="190"/>
      <c r="D120" s="190"/>
      <c r="E120" s="190"/>
      <c r="F120" s="190"/>
      <c r="G120" s="190"/>
      <c r="H120" s="190"/>
      <c r="I120" s="190"/>
      <c r="J120" s="190"/>
      <c r="K120" s="190"/>
      <c r="L120" s="190"/>
      <c r="M120" s="190"/>
      <c r="N120" s="190"/>
      <c r="O120" s="190"/>
      <c r="P120" s="190"/>
    </row>
    <row r="121" spans="1:21">
      <c r="A121" s="190"/>
      <c r="B121" s="190"/>
      <c r="C121" s="190"/>
      <c r="D121" s="190"/>
      <c r="E121" s="190"/>
      <c r="F121" s="190"/>
      <c r="G121" s="190"/>
      <c r="H121" s="190"/>
      <c r="I121" s="190"/>
      <c r="J121" s="190"/>
      <c r="K121" s="190"/>
      <c r="L121" s="190"/>
      <c r="M121" s="190"/>
      <c r="N121" s="190"/>
      <c r="O121" s="190"/>
      <c r="P121" s="190"/>
    </row>
    <row r="122" spans="1:21">
      <c r="A122" s="190"/>
      <c r="B122" s="190"/>
      <c r="C122" s="190"/>
      <c r="D122" s="190"/>
      <c r="E122" s="190"/>
      <c r="F122" s="190"/>
      <c r="G122" s="190"/>
      <c r="H122" s="190"/>
      <c r="I122" s="190"/>
      <c r="J122" s="190"/>
      <c r="K122" s="190"/>
      <c r="L122" s="190"/>
      <c r="M122" s="190"/>
      <c r="N122" s="190"/>
      <c r="O122" s="190"/>
      <c r="P122" s="190"/>
    </row>
    <row r="123" spans="1:21">
      <c r="A123" s="189"/>
      <c r="B123" s="189"/>
      <c r="C123" s="189"/>
      <c r="D123" s="189"/>
      <c r="E123" s="189"/>
      <c r="F123" s="189"/>
      <c r="G123" s="189"/>
      <c r="H123" s="189"/>
      <c r="I123" s="189"/>
      <c r="J123" s="189"/>
      <c r="K123" s="190"/>
      <c r="L123" s="190"/>
      <c r="M123" s="190"/>
      <c r="N123" s="190"/>
      <c r="O123" s="190"/>
      <c r="P123" s="189"/>
    </row>
    <row r="124" spans="1:21">
      <c r="A124" s="189"/>
      <c r="B124" s="189"/>
      <c r="C124" s="189"/>
      <c r="D124" s="189"/>
      <c r="E124" s="189"/>
      <c r="F124" s="189"/>
      <c r="G124" s="189"/>
      <c r="H124" s="189"/>
      <c r="I124" s="189"/>
      <c r="J124" s="189"/>
      <c r="K124" s="190"/>
      <c r="L124" s="190"/>
      <c r="M124" s="190"/>
      <c r="N124" s="190"/>
      <c r="O124" s="190"/>
      <c r="P124" s="189"/>
    </row>
    <row r="125" spans="1:21">
      <c r="A125" s="189"/>
      <c r="B125" s="189"/>
      <c r="C125" s="189"/>
      <c r="D125" s="189"/>
      <c r="E125" s="189"/>
      <c r="F125" s="189"/>
      <c r="G125" s="189"/>
      <c r="H125" s="189"/>
      <c r="I125" s="189"/>
      <c r="J125" s="189"/>
      <c r="K125" s="190"/>
      <c r="L125" s="190"/>
      <c r="M125" s="190"/>
      <c r="N125" s="190"/>
      <c r="O125" s="190"/>
      <c r="P125" s="189"/>
    </row>
    <row r="126" spans="1:21">
      <c r="A126" s="189"/>
      <c r="B126" s="189"/>
      <c r="C126" s="189"/>
      <c r="D126" s="189"/>
      <c r="E126" s="189"/>
      <c r="F126" s="189"/>
      <c r="G126" s="189"/>
      <c r="H126" s="189"/>
      <c r="I126" s="189"/>
      <c r="J126" s="189"/>
      <c r="K126" s="190"/>
      <c r="L126" s="190"/>
      <c r="M126" s="190"/>
      <c r="N126" s="190"/>
      <c r="O126" s="190"/>
      <c r="P126" s="189"/>
    </row>
    <row r="127" spans="1:21">
      <c r="A127" s="189"/>
      <c r="B127" s="189"/>
      <c r="C127" s="189"/>
      <c r="D127" s="189"/>
      <c r="E127" s="189"/>
      <c r="F127" s="189"/>
      <c r="G127" s="189"/>
      <c r="H127" s="189"/>
      <c r="I127" s="189"/>
      <c r="J127" s="189"/>
      <c r="K127" s="190"/>
      <c r="L127" s="190"/>
      <c r="M127" s="190"/>
      <c r="N127" s="190"/>
      <c r="O127" s="190"/>
      <c r="P127" s="189"/>
    </row>
    <row r="128" spans="1:21">
      <c r="A128" s="189"/>
      <c r="B128" s="189"/>
      <c r="C128" s="189"/>
      <c r="D128" s="189"/>
      <c r="E128" s="189"/>
      <c r="F128" s="189"/>
      <c r="G128" s="189"/>
      <c r="H128" s="189"/>
      <c r="I128" s="189"/>
      <c r="J128" s="189"/>
      <c r="K128" s="190"/>
      <c r="L128" s="190"/>
      <c r="M128" s="190"/>
      <c r="N128" s="190"/>
      <c r="O128" s="190"/>
      <c r="P128" s="189"/>
    </row>
    <row r="129" spans="1:16">
      <c r="A129" s="189"/>
      <c r="B129" s="189"/>
      <c r="C129" s="189"/>
      <c r="D129" s="189"/>
      <c r="E129" s="189"/>
      <c r="F129" s="189"/>
      <c r="G129" s="189"/>
      <c r="H129" s="189"/>
      <c r="I129" s="189"/>
      <c r="J129" s="189"/>
      <c r="K129" s="190"/>
      <c r="L129" s="190"/>
      <c r="M129" s="190"/>
      <c r="N129" s="190"/>
      <c r="O129" s="190"/>
      <c r="P129" s="189"/>
    </row>
    <row r="130" spans="1:16">
      <c r="A130" s="189"/>
      <c r="B130" s="189"/>
      <c r="C130" s="189"/>
      <c r="D130" s="189"/>
      <c r="E130" s="189"/>
      <c r="F130" s="189"/>
      <c r="G130" s="189"/>
      <c r="H130" s="189"/>
      <c r="I130" s="189"/>
      <c r="J130" s="189"/>
      <c r="K130" s="190"/>
      <c r="L130" s="190"/>
      <c r="M130" s="190"/>
      <c r="N130" s="190"/>
      <c r="O130" s="190"/>
      <c r="P130" s="189"/>
    </row>
    <row r="131" spans="1:16">
      <c r="A131" s="189"/>
      <c r="B131" s="189"/>
      <c r="C131" s="189"/>
      <c r="D131" s="189"/>
      <c r="E131" s="189"/>
      <c r="F131" s="189"/>
      <c r="G131" s="189"/>
      <c r="H131" s="189"/>
      <c r="I131" s="189"/>
      <c r="J131" s="189"/>
      <c r="K131" s="190"/>
      <c r="L131" s="190"/>
      <c r="M131" s="190"/>
      <c r="N131" s="190"/>
      <c r="O131" s="190"/>
      <c r="P131" s="189"/>
    </row>
    <row r="132" spans="1:16">
      <c r="A132" s="189"/>
      <c r="B132" s="189"/>
      <c r="C132" s="189"/>
      <c r="D132" s="189"/>
      <c r="E132" s="189"/>
      <c r="F132" s="189"/>
      <c r="G132" s="189"/>
      <c r="H132" s="189"/>
      <c r="I132" s="189"/>
      <c r="J132" s="189"/>
      <c r="K132" s="190"/>
      <c r="L132" s="190"/>
      <c r="M132" s="190"/>
      <c r="N132" s="190"/>
      <c r="O132" s="190"/>
      <c r="P132" s="189"/>
    </row>
    <row r="133" spans="1:16">
      <c r="A133" s="189"/>
      <c r="B133" s="189"/>
      <c r="C133" s="189"/>
      <c r="D133" s="189"/>
      <c r="E133" s="189"/>
      <c r="F133" s="189"/>
      <c r="G133" s="189"/>
      <c r="H133" s="189"/>
      <c r="I133" s="189"/>
      <c r="J133" s="189"/>
      <c r="K133" s="190"/>
      <c r="L133" s="190"/>
      <c r="M133" s="190"/>
      <c r="N133" s="190"/>
      <c r="O133" s="190"/>
      <c r="P133" s="189"/>
    </row>
    <row r="134" spans="1:16">
      <c r="A134" s="189"/>
      <c r="B134" s="189"/>
      <c r="C134" s="189"/>
      <c r="D134" s="189"/>
      <c r="E134" s="189"/>
      <c r="F134" s="189"/>
      <c r="G134" s="189"/>
      <c r="H134" s="189"/>
      <c r="I134" s="189"/>
      <c r="J134" s="189"/>
      <c r="K134" s="190"/>
      <c r="L134" s="190"/>
      <c r="M134" s="190"/>
      <c r="N134" s="190"/>
      <c r="O134" s="190"/>
      <c r="P134" s="189"/>
    </row>
    <row r="135" spans="1:16">
      <c r="A135" s="189"/>
      <c r="B135" s="189"/>
      <c r="C135" s="189"/>
      <c r="D135" s="189"/>
      <c r="E135" s="189"/>
      <c r="F135" s="189"/>
      <c r="G135" s="189"/>
      <c r="H135" s="189"/>
      <c r="I135" s="189"/>
      <c r="J135" s="189"/>
      <c r="K135" s="190"/>
      <c r="L135" s="190"/>
      <c r="M135" s="190"/>
      <c r="N135" s="190"/>
      <c r="O135" s="190"/>
      <c r="P135" s="189"/>
    </row>
    <row r="136" spans="1:16">
      <c r="A136" s="189"/>
      <c r="B136" s="189"/>
      <c r="C136" s="189"/>
      <c r="D136" s="189"/>
      <c r="E136" s="189"/>
      <c r="F136" s="189"/>
      <c r="G136" s="189"/>
      <c r="H136" s="189"/>
      <c r="I136" s="189"/>
      <c r="J136" s="189"/>
      <c r="K136" s="190"/>
      <c r="L136" s="190"/>
      <c r="M136" s="190"/>
      <c r="N136" s="190"/>
      <c r="O136" s="190"/>
      <c r="P136" s="189"/>
    </row>
    <row r="137" spans="1:16">
      <c r="A137" s="189"/>
      <c r="B137" s="189"/>
      <c r="C137" s="189"/>
      <c r="D137" s="189"/>
      <c r="E137" s="189"/>
      <c r="F137" s="189"/>
      <c r="G137" s="189"/>
      <c r="H137" s="189"/>
      <c r="I137" s="189"/>
      <c r="J137" s="189"/>
      <c r="K137" s="190"/>
      <c r="L137" s="190"/>
      <c r="M137" s="190"/>
      <c r="N137" s="190"/>
      <c r="O137" s="190"/>
      <c r="P137" s="189"/>
    </row>
    <row r="138" spans="1:16">
      <c r="A138" s="189"/>
      <c r="B138" s="189"/>
      <c r="C138" s="189"/>
      <c r="D138" s="189"/>
      <c r="E138" s="189"/>
      <c r="F138" s="189"/>
      <c r="G138" s="189"/>
      <c r="H138" s="189"/>
      <c r="I138" s="189"/>
      <c r="J138" s="189"/>
      <c r="K138" s="190"/>
      <c r="L138" s="190"/>
      <c r="M138" s="190"/>
      <c r="N138" s="190"/>
      <c r="O138" s="190"/>
      <c r="P138" s="189"/>
    </row>
    <row r="139" spans="1:16">
      <c r="A139" s="189"/>
      <c r="B139" s="189"/>
      <c r="C139" s="189"/>
      <c r="D139" s="189"/>
      <c r="E139" s="189"/>
      <c r="F139" s="189"/>
      <c r="G139" s="189"/>
      <c r="H139" s="189"/>
      <c r="I139" s="189"/>
      <c r="J139" s="189"/>
      <c r="K139" s="190"/>
      <c r="L139" s="190"/>
      <c r="M139" s="190"/>
      <c r="N139" s="190"/>
      <c r="O139" s="190"/>
      <c r="P139" s="189"/>
    </row>
    <row r="140" spans="1:16">
      <c r="A140" s="189"/>
      <c r="B140" s="189"/>
      <c r="C140" s="189"/>
      <c r="D140" s="189"/>
      <c r="E140" s="189"/>
      <c r="F140" s="189"/>
      <c r="G140" s="189"/>
      <c r="H140" s="189"/>
      <c r="I140" s="189"/>
      <c r="J140" s="189"/>
      <c r="K140" s="190"/>
      <c r="L140" s="190"/>
      <c r="M140" s="190"/>
      <c r="N140" s="190"/>
      <c r="O140" s="190"/>
      <c r="P140" s="189"/>
    </row>
    <row r="141" spans="1:16">
      <c r="A141" s="189"/>
      <c r="B141" s="189"/>
      <c r="C141" s="189"/>
      <c r="D141" s="189"/>
      <c r="E141" s="189"/>
      <c r="F141" s="189"/>
      <c r="G141" s="189"/>
      <c r="H141" s="189"/>
      <c r="I141" s="189"/>
      <c r="J141" s="189"/>
      <c r="K141" s="190"/>
      <c r="L141" s="190"/>
      <c r="M141" s="190"/>
      <c r="N141" s="190"/>
      <c r="O141" s="190"/>
      <c r="P141" s="189"/>
    </row>
    <row r="142" spans="1:16">
      <c r="A142" s="189"/>
      <c r="B142" s="189"/>
      <c r="C142" s="189"/>
      <c r="D142" s="189"/>
      <c r="E142" s="189"/>
      <c r="F142" s="189"/>
      <c r="G142" s="189"/>
      <c r="H142" s="189"/>
      <c r="I142" s="189"/>
      <c r="J142" s="189"/>
      <c r="K142" s="190"/>
      <c r="L142" s="190"/>
      <c r="M142" s="190"/>
      <c r="N142" s="190"/>
      <c r="O142" s="190"/>
      <c r="P142" s="189"/>
    </row>
    <row r="143" spans="1:16">
      <c r="A143" s="189"/>
      <c r="B143" s="189"/>
      <c r="C143" s="189"/>
      <c r="D143" s="189"/>
      <c r="E143" s="189"/>
      <c r="F143" s="189"/>
      <c r="G143" s="189"/>
      <c r="H143" s="189"/>
      <c r="I143" s="189"/>
      <c r="J143" s="189"/>
      <c r="K143" s="190"/>
      <c r="L143" s="190"/>
      <c r="M143" s="190"/>
      <c r="N143" s="190"/>
      <c r="O143" s="190"/>
      <c r="P143" s="189"/>
    </row>
    <row r="144" spans="1:16">
      <c r="A144" s="189"/>
      <c r="B144" s="189"/>
      <c r="C144" s="189"/>
      <c r="D144" s="189"/>
      <c r="E144" s="189"/>
      <c r="F144" s="189"/>
      <c r="G144" s="189"/>
      <c r="H144" s="189"/>
      <c r="I144" s="189"/>
      <c r="J144" s="189"/>
      <c r="K144" s="190"/>
      <c r="L144" s="190"/>
      <c r="M144" s="190"/>
      <c r="N144" s="190"/>
      <c r="O144" s="190"/>
      <c r="P144" s="189"/>
    </row>
    <row r="145" spans="1:16">
      <c r="A145" s="189"/>
      <c r="B145" s="189"/>
      <c r="C145" s="189"/>
      <c r="D145" s="189"/>
      <c r="E145" s="189"/>
      <c r="F145" s="189"/>
      <c r="G145" s="189"/>
      <c r="H145" s="189"/>
      <c r="I145" s="189"/>
      <c r="J145" s="189"/>
      <c r="K145" s="190"/>
      <c r="L145" s="190"/>
      <c r="M145" s="190"/>
      <c r="N145" s="190"/>
      <c r="O145" s="190"/>
      <c r="P145" s="189"/>
    </row>
    <row r="146" spans="1:16">
      <c r="A146" s="189"/>
      <c r="B146" s="189"/>
      <c r="C146" s="189"/>
      <c r="D146" s="189"/>
      <c r="E146" s="189"/>
      <c r="F146" s="189"/>
      <c r="G146" s="189"/>
      <c r="H146" s="189"/>
      <c r="I146" s="189"/>
      <c r="J146" s="189"/>
      <c r="K146" s="190"/>
      <c r="L146" s="190"/>
      <c r="M146" s="190"/>
      <c r="N146" s="190"/>
      <c r="O146" s="190"/>
      <c r="P146" s="189"/>
    </row>
    <row r="147" spans="1:16">
      <c r="A147" s="189"/>
      <c r="B147" s="189"/>
      <c r="C147" s="189"/>
      <c r="D147" s="189"/>
      <c r="E147" s="189"/>
      <c r="F147" s="189"/>
      <c r="G147" s="189"/>
      <c r="H147" s="189"/>
      <c r="I147" s="189"/>
      <c r="J147" s="189"/>
      <c r="K147" s="190"/>
      <c r="L147" s="190"/>
      <c r="M147" s="190"/>
      <c r="N147" s="190"/>
      <c r="O147" s="190"/>
      <c r="P147" s="189"/>
    </row>
    <row r="148" spans="1:16">
      <c r="A148" s="189"/>
      <c r="B148" s="189"/>
      <c r="C148" s="189"/>
      <c r="D148" s="189"/>
      <c r="E148" s="189"/>
      <c r="F148" s="189"/>
      <c r="G148" s="189"/>
      <c r="H148" s="189"/>
      <c r="I148" s="189"/>
      <c r="J148" s="189"/>
      <c r="K148" s="190"/>
      <c r="L148" s="190"/>
      <c r="M148" s="190"/>
      <c r="N148" s="190"/>
      <c r="O148" s="190"/>
      <c r="P148" s="189"/>
    </row>
    <row r="149" spans="1:16">
      <c r="A149" s="189"/>
      <c r="B149" s="189"/>
      <c r="C149" s="189"/>
      <c r="D149" s="189"/>
      <c r="E149" s="189"/>
      <c r="F149" s="189"/>
      <c r="G149" s="189"/>
      <c r="H149" s="189"/>
      <c r="I149" s="189"/>
      <c r="J149" s="189"/>
      <c r="K149" s="190"/>
      <c r="L149" s="190"/>
      <c r="M149" s="190"/>
      <c r="N149" s="190"/>
      <c r="O149" s="190"/>
      <c r="P149" s="189"/>
    </row>
    <row r="150" spans="1:16">
      <c r="A150" s="189"/>
      <c r="B150" s="189"/>
      <c r="C150" s="189"/>
      <c r="D150" s="189"/>
      <c r="E150" s="189"/>
      <c r="F150" s="189"/>
      <c r="G150" s="189"/>
      <c r="H150" s="189"/>
      <c r="I150" s="189"/>
      <c r="J150" s="189"/>
      <c r="K150" s="190"/>
      <c r="L150" s="190"/>
      <c r="M150" s="190"/>
      <c r="N150" s="190"/>
      <c r="O150" s="190"/>
      <c r="P150" s="189"/>
    </row>
    <row r="151" spans="1:16">
      <c r="A151" s="189"/>
      <c r="B151" s="189"/>
      <c r="C151" s="189"/>
      <c r="D151" s="189"/>
      <c r="E151" s="189"/>
      <c r="F151" s="189"/>
      <c r="G151" s="189"/>
      <c r="H151" s="189"/>
      <c r="I151" s="189"/>
      <c r="J151" s="189"/>
      <c r="K151" s="190"/>
      <c r="L151" s="190"/>
      <c r="M151" s="190"/>
      <c r="N151" s="190"/>
      <c r="O151" s="190"/>
      <c r="P151" s="189"/>
    </row>
    <row r="152" spans="1:16">
      <c r="A152" s="189"/>
      <c r="B152" s="189"/>
      <c r="C152" s="189"/>
      <c r="D152" s="189"/>
      <c r="E152" s="189"/>
      <c r="F152" s="189"/>
      <c r="G152" s="189"/>
      <c r="H152" s="189"/>
      <c r="I152" s="189"/>
      <c r="J152" s="189"/>
      <c r="K152" s="190"/>
      <c r="L152" s="190"/>
      <c r="M152" s="190"/>
      <c r="N152" s="190"/>
      <c r="O152" s="190"/>
      <c r="P152" s="189"/>
    </row>
    <row r="153" spans="1:16">
      <c r="A153" s="189"/>
      <c r="B153" s="189"/>
      <c r="C153" s="189"/>
      <c r="D153" s="189"/>
      <c r="E153" s="189"/>
      <c r="F153" s="189"/>
      <c r="G153" s="189"/>
      <c r="H153" s="189"/>
      <c r="I153" s="189"/>
      <c r="J153" s="189"/>
      <c r="K153" s="190"/>
      <c r="L153" s="190"/>
      <c r="M153" s="190"/>
      <c r="N153" s="190"/>
      <c r="O153" s="190"/>
      <c r="P153" s="189"/>
    </row>
    <row r="154" spans="1:16">
      <c r="A154" s="189"/>
      <c r="B154" s="189"/>
      <c r="C154" s="189"/>
      <c r="D154" s="189"/>
      <c r="E154" s="189"/>
      <c r="F154" s="189"/>
      <c r="G154" s="189"/>
      <c r="H154" s="189"/>
      <c r="I154" s="189"/>
      <c r="J154" s="189"/>
      <c r="K154" s="190"/>
      <c r="L154" s="190"/>
      <c r="M154" s="190"/>
      <c r="N154" s="190"/>
      <c r="O154" s="190"/>
      <c r="P154" s="189"/>
    </row>
    <row r="155" spans="1:16">
      <c r="A155" s="189"/>
      <c r="B155" s="189"/>
      <c r="C155" s="189"/>
      <c r="D155" s="189"/>
      <c r="E155" s="189"/>
      <c r="F155" s="189"/>
      <c r="G155" s="189"/>
      <c r="H155" s="189"/>
      <c r="I155" s="189"/>
      <c r="J155" s="189"/>
      <c r="K155" s="190"/>
      <c r="L155" s="190"/>
      <c r="M155" s="190"/>
      <c r="N155" s="190"/>
      <c r="O155" s="190"/>
      <c r="P155" s="189"/>
    </row>
    <row r="156" spans="1:16">
      <c r="A156" s="189"/>
      <c r="B156" s="189"/>
      <c r="C156" s="189"/>
      <c r="D156" s="189"/>
      <c r="E156" s="189"/>
      <c r="F156" s="189"/>
      <c r="G156" s="189"/>
      <c r="H156" s="189"/>
      <c r="I156" s="189"/>
      <c r="J156" s="189"/>
      <c r="K156" s="190"/>
      <c r="L156" s="190"/>
      <c r="M156" s="190"/>
      <c r="N156" s="190"/>
      <c r="O156" s="190"/>
      <c r="P156" s="189"/>
    </row>
    <row r="157" spans="1:16">
      <c r="A157" s="189"/>
      <c r="B157" s="189"/>
      <c r="C157" s="189"/>
      <c r="D157" s="189"/>
      <c r="E157" s="189"/>
      <c r="F157" s="189"/>
      <c r="G157" s="189"/>
      <c r="H157" s="189"/>
      <c r="I157" s="189"/>
      <c r="J157" s="189"/>
      <c r="K157" s="190"/>
      <c r="L157" s="190"/>
      <c r="M157" s="190"/>
      <c r="N157" s="190"/>
      <c r="O157" s="190"/>
      <c r="P157" s="189"/>
    </row>
    <row r="158" spans="1:16">
      <c r="A158" s="189"/>
      <c r="B158" s="189"/>
      <c r="C158" s="189"/>
      <c r="D158" s="189"/>
      <c r="E158" s="189"/>
      <c r="F158" s="189"/>
      <c r="G158" s="189"/>
      <c r="H158" s="189"/>
      <c r="I158" s="189"/>
      <c r="J158" s="189"/>
      <c r="K158" s="190"/>
      <c r="L158" s="190"/>
      <c r="M158" s="190"/>
      <c r="N158" s="190"/>
      <c r="O158" s="190"/>
      <c r="P158" s="189"/>
    </row>
    <row r="159" spans="1:16">
      <c r="A159" s="189"/>
      <c r="B159" s="189"/>
      <c r="C159" s="189"/>
      <c r="D159" s="189"/>
      <c r="E159" s="189"/>
      <c r="F159" s="189"/>
      <c r="G159" s="189"/>
      <c r="H159" s="189"/>
      <c r="I159" s="189"/>
      <c r="J159" s="189"/>
      <c r="K159" s="190"/>
      <c r="L159" s="190"/>
      <c r="M159" s="190"/>
      <c r="N159" s="190"/>
      <c r="O159" s="190"/>
      <c r="P159" s="189"/>
    </row>
    <row r="160" spans="1:16">
      <c r="A160" s="189"/>
      <c r="B160" s="189"/>
      <c r="C160" s="189"/>
      <c r="D160" s="189"/>
      <c r="E160" s="189"/>
      <c r="F160" s="189"/>
      <c r="G160" s="189"/>
      <c r="H160" s="189"/>
      <c r="I160" s="189"/>
      <c r="J160" s="189"/>
      <c r="K160" s="190"/>
      <c r="L160" s="190"/>
      <c r="M160" s="190"/>
      <c r="N160" s="190"/>
      <c r="O160" s="190"/>
      <c r="P160" s="189"/>
    </row>
    <row r="161" spans="1:16">
      <c r="A161" s="189"/>
      <c r="B161" s="189"/>
      <c r="C161" s="189"/>
      <c r="D161" s="189"/>
      <c r="E161" s="189"/>
      <c r="F161" s="189"/>
      <c r="G161" s="189"/>
      <c r="H161" s="189"/>
      <c r="I161" s="189"/>
      <c r="J161" s="189"/>
      <c r="K161" s="190"/>
      <c r="L161" s="190"/>
      <c r="M161" s="190"/>
      <c r="N161" s="190"/>
      <c r="O161" s="190"/>
      <c r="P161" s="189"/>
    </row>
    <row r="162" spans="1:16">
      <c r="A162" s="189"/>
      <c r="B162" s="189"/>
      <c r="C162" s="189"/>
      <c r="D162" s="189"/>
      <c r="E162" s="189"/>
      <c r="F162" s="189"/>
      <c r="G162" s="189"/>
      <c r="H162" s="189"/>
      <c r="I162" s="189"/>
      <c r="J162" s="189"/>
      <c r="K162" s="190"/>
      <c r="L162" s="190"/>
      <c r="M162" s="190"/>
      <c r="N162" s="190"/>
      <c r="O162" s="190"/>
      <c r="P162" s="189"/>
    </row>
    <row r="163" spans="1:16">
      <c r="A163" s="189"/>
      <c r="B163" s="189"/>
      <c r="C163" s="189"/>
      <c r="D163" s="189"/>
      <c r="E163" s="189"/>
      <c r="F163" s="189"/>
      <c r="G163" s="189"/>
      <c r="H163" s="189"/>
      <c r="I163" s="189"/>
      <c r="J163" s="189"/>
      <c r="K163" s="190"/>
      <c r="L163" s="190"/>
      <c r="M163" s="190"/>
      <c r="N163" s="190"/>
      <c r="O163" s="190"/>
      <c r="P163" s="189"/>
    </row>
    <row r="164" spans="1:16">
      <c r="A164" s="189"/>
      <c r="B164" s="189"/>
      <c r="C164" s="189"/>
      <c r="D164" s="189"/>
      <c r="E164" s="189"/>
      <c r="F164" s="189"/>
      <c r="G164" s="189"/>
      <c r="H164" s="189"/>
      <c r="I164" s="189"/>
      <c r="J164" s="189"/>
      <c r="K164" s="190"/>
      <c r="L164" s="190"/>
      <c r="M164" s="190"/>
      <c r="N164" s="190"/>
      <c r="O164" s="190"/>
      <c r="P164" s="189"/>
    </row>
    <row r="165" spans="1:16">
      <c r="A165" s="189"/>
      <c r="B165" s="189"/>
      <c r="C165" s="189"/>
      <c r="D165" s="189"/>
      <c r="E165" s="189"/>
      <c r="F165" s="189"/>
      <c r="G165" s="189"/>
      <c r="H165" s="189"/>
      <c r="I165" s="189"/>
      <c r="J165" s="189"/>
      <c r="K165" s="190"/>
      <c r="L165" s="190"/>
      <c r="M165" s="190"/>
      <c r="N165" s="190"/>
      <c r="O165" s="190"/>
      <c r="P165" s="189"/>
    </row>
    <row r="166" spans="1:16">
      <c r="A166" s="189"/>
      <c r="B166" s="189"/>
      <c r="C166" s="189"/>
      <c r="D166" s="189"/>
      <c r="E166" s="189"/>
      <c r="F166" s="189"/>
      <c r="G166" s="189"/>
      <c r="H166" s="189"/>
      <c r="I166" s="189"/>
      <c r="J166" s="189"/>
      <c r="K166" s="190"/>
      <c r="L166" s="190"/>
      <c r="M166" s="190"/>
      <c r="N166" s="190"/>
      <c r="O166" s="190"/>
      <c r="P166" s="189"/>
    </row>
    <row r="167" spans="1:16">
      <c r="A167" s="189"/>
      <c r="B167" s="189"/>
      <c r="C167" s="189"/>
      <c r="D167" s="189"/>
      <c r="E167" s="189"/>
      <c r="F167" s="189"/>
      <c r="G167" s="189"/>
      <c r="H167" s="189"/>
      <c r="I167" s="189"/>
      <c r="J167" s="189"/>
      <c r="K167" s="190"/>
      <c r="L167" s="190"/>
      <c r="M167" s="190"/>
      <c r="N167" s="190"/>
      <c r="O167" s="190"/>
      <c r="P167" s="189"/>
    </row>
    <row r="168" spans="1:16">
      <c r="A168" s="189"/>
      <c r="B168" s="189"/>
      <c r="C168" s="189"/>
      <c r="D168" s="189"/>
      <c r="E168" s="189"/>
      <c r="F168" s="189"/>
      <c r="G168" s="189"/>
      <c r="H168" s="189"/>
      <c r="I168" s="189"/>
      <c r="J168" s="189"/>
      <c r="K168" s="190"/>
      <c r="L168" s="190"/>
      <c r="M168" s="190"/>
      <c r="N168" s="190"/>
      <c r="O168" s="190"/>
      <c r="P168" s="189"/>
    </row>
    <row r="169" spans="1:16">
      <c r="A169" s="189"/>
      <c r="B169" s="189"/>
      <c r="C169" s="189"/>
      <c r="D169" s="189"/>
      <c r="E169" s="189"/>
      <c r="F169" s="189"/>
      <c r="G169" s="189"/>
      <c r="H169" s="189"/>
      <c r="I169" s="189"/>
      <c r="J169" s="189"/>
      <c r="K169" s="190"/>
      <c r="L169" s="190"/>
      <c r="M169" s="190"/>
      <c r="N169" s="190"/>
      <c r="O169" s="190"/>
      <c r="P169" s="189"/>
    </row>
    <row r="170" spans="1:16">
      <c r="A170" s="189"/>
      <c r="B170" s="189"/>
      <c r="C170" s="189"/>
      <c r="D170" s="189"/>
      <c r="E170" s="189"/>
      <c r="F170" s="189"/>
      <c r="G170" s="189"/>
      <c r="H170" s="189"/>
      <c r="I170" s="189"/>
      <c r="J170" s="189"/>
      <c r="K170" s="190"/>
      <c r="L170" s="190"/>
      <c r="M170" s="190"/>
      <c r="N170" s="190"/>
      <c r="O170" s="190"/>
      <c r="P170" s="189"/>
    </row>
    <row r="171" spans="1:16">
      <c r="A171" s="189"/>
      <c r="B171" s="189"/>
      <c r="C171" s="189"/>
      <c r="D171" s="189"/>
      <c r="E171" s="189"/>
      <c r="F171" s="189"/>
      <c r="G171" s="189"/>
      <c r="H171" s="189"/>
      <c r="I171" s="189"/>
      <c r="J171" s="189"/>
      <c r="K171" s="190"/>
      <c r="L171" s="190"/>
      <c r="M171" s="190"/>
      <c r="N171" s="190"/>
      <c r="O171" s="190"/>
      <c r="P171" s="189"/>
    </row>
    <row r="172" spans="1:16">
      <c r="A172" s="189"/>
      <c r="B172" s="189"/>
      <c r="C172" s="189"/>
      <c r="D172" s="189"/>
      <c r="E172" s="189"/>
      <c r="F172" s="189"/>
      <c r="G172" s="189"/>
      <c r="H172" s="189"/>
      <c r="I172" s="189"/>
      <c r="J172" s="189"/>
      <c r="K172" s="190"/>
      <c r="L172" s="190"/>
      <c r="M172" s="190"/>
      <c r="N172" s="190"/>
      <c r="O172" s="190"/>
      <c r="P172" s="189"/>
    </row>
    <row r="173" spans="1:16">
      <c r="A173" s="189"/>
      <c r="B173" s="189"/>
      <c r="C173" s="189"/>
      <c r="D173" s="189"/>
      <c r="E173" s="189"/>
      <c r="F173" s="189"/>
      <c r="G173" s="189"/>
      <c r="H173" s="189"/>
      <c r="I173" s="189"/>
      <c r="J173" s="189"/>
      <c r="K173" s="190"/>
      <c r="L173" s="190"/>
      <c r="M173" s="190"/>
      <c r="N173" s="190"/>
      <c r="O173" s="190"/>
      <c r="P173" s="189"/>
    </row>
    <row r="174" spans="1:16">
      <c r="A174" s="189"/>
      <c r="B174" s="189"/>
      <c r="C174" s="189"/>
      <c r="D174" s="189"/>
      <c r="E174" s="189"/>
      <c r="F174" s="189"/>
      <c r="G174" s="189"/>
      <c r="H174" s="189"/>
      <c r="I174" s="189"/>
      <c r="J174" s="189"/>
      <c r="K174" s="190"/>
      <c r="L174" s="190"/>
      <c r="M174" s="190"/>
      <c r="N174" s="190"/>
      <c r="O174" s="190"/>
      <c r="P174" s="189"/>
    </row>
    <row r="175" spans="1:16">
      <c r="A175" s="189"/>
      <c r="B175" s="189"/>
      <c r="C175" s="189"/>
      <c r="D175" s="189"/>
      <c r="E175" s="189"/>
      <c r="F175" s="189"/>
      <c r="G175" s="189"/>
      <c r="H175" s="189"/>
      <c r="I175" s="189"/>
      <c r="J175" s="189"/>
      <c r="K175" s="190"/>
      <c r="L175" s="190"/>
      <c r="M175" s="190"/>
      <c r="N175" s="190"/>
      <c r="O175" s="190"/>
      <c r="P175" s="189"/>
    </row>
    <row r="176" spans="1:16">
      <c r="A176" s="189"/>
      <c r="B176" s="189"/>
      <c r="C176" s="189"/>
      <c r="D176" s="189"/>
      <c r="E176" s="189"/>
      <c r="F176" s="189"/>
      <c r="G176" s="189"/>
      <c r="H176" s="189"/>
      <c r="I176" s="189"/>
      <c r="J176" s="189"/>
      <c r="K176" s="190"/>
      <c r="L176" s="190"/>
      <c r="M176" s="190"/>
      <c r="N176" s="190"/>
      <c r="O176" s="190"/>
      <c r="P176" s="189"/>
    </row>
    <row r="177" spans="1:16">
      <c r="A177" s="189"/>
      <c r="B177" s="189"/>
      <c r="C177" s="189"/>
      <c r="D177" s="189"/>
      <c r="E177" s="189"/>
      <c r="F177" s="189"/>
      <c r="G177" s="189"/>
      <c r="H177" s="189"/>
      <c r="I177" s="189"/>
      <c r="J177" s="189"/>
      <c r="K177" s="190"/>
      <c r="L177" s="190"/>
      <c r="M177" s="190"/>
      <c r="N177" s="190"/>
      <c r="O177" s="190"/>
      <c r="P177" s="189"/>
    </row>
    <row r="178" spans="1:16">
      <c r="A178" s="189"/>
      <c r="B178" s="189"/>
      <c r="C178" s="189"/>
      <c r="D178" s="189"/>
      <c r="E178" s="189"/>
      <c r="F178" s="189"/>
      <c r="G178" s="189"/>
      <c r="H178" s="189"/>
      <c r="I178" s="189"/>
      <c r="J178" s="189"/>
      <c r="K178" s="190"/>
      <c r="L178" s="190"/>
      <c r="M178" s="190"/>
      <c r="N178" s="190"/>
      <c r="O178" s="190"/>
      <c r="P178" s="189"/>
    </row>
    <row r="179" spans="1:16">
      <c r="A179" s="189"/>
      <c r="B179" s="189"/>
      <c r="C179" s="189"/>
      <c r="D179" s="189"/>
      <c r="E179" s="189"/>
      <c r="F179" s="189"/>
      <c r="G179" s="189"/>
      <c r="H179" s="189"/>
      <c r="I179" s="189"/>
      <c r="J179" s="189"/>
      <c r="K179" s="190"/>
      <c r="L179" s="190"/>
      <c r="M179" s="190"/>
      <c r="N179" s="190"/>
      <c r="O179" s="190"/>
      <c r="P179" s="189"/>
    </row>
    <row r="180" spans="1:16">
      <c r="A180" s="189"/>
      <c r="B180" s="189"/>
      <c r="C180" s="189"/>
      <c r="D180" s="189"/>
      <c r="E180" s="189"/>
      <c r="F180" s="189"/>
      <c r="G180" s="189"/>
      <c r="H180" s="189"/>
      <c r="I180" s="189"/>
      <c r="J180" s="189"/>
      <c r="K180" s="190"/>
      <c r="L180" s="190"/>
      <c r="M180" s="190"/>
      <c r="N180" s="190"/>
      <c r="O180" s="190"/>
      <c r="P180" s="189"/>
    </row>
    <row r="181" spans="1:16">
      <c r="A181" s="189"/>
      <c r="B181" s="189"/>
      <c r="C181" s="189"/>
      <c r="D181" s="189"/>
      <c r="E181" s="189"/>
      <c r="F181" s="189"/>
      <c r="G181" s="189"/>
      <c r="H181" s="189"/>
      <c r="I181" s="189"/>
      <c r="J181" s="189"/>
      <c r="K181" s="190"/>
      <c r="L181" s="190"/>
      <c r="M181" s="190"/>
      <c r="N181" s="190"/>
      <c r="O181" s="190"/>
      <c r="P181" s="189"/>
    </row>
    <row r="182" spans="1:16">
      <c r="A182" s="189"/>
      <c r="B182" s="189"/>
      <c r="C182" s="189"/>
      <c r="D182" s="189"/>
      <c r="E182" s="189"/>
      <c r="F182" s="189"/>
      <c r="G182" s="189"/>
      <c r="H182" s="189"/>
      <c r="I182" s="189"/>
      <c r="J182" s="189"/>
      <c r="K182" s="190"/>
      <c r="L182" s="190"/>
      <c r="M182" s="190"/>
      <c r="N182" s="190"/>
      <c r="O182" s="190"/>
      <c r="P182" s="189"/>
    </row>
    <row r="183" spans="1:16">
      <c r="A183" s="189"/>
      <c r="B183" s="189"/>
      <c r="C183" s="189"/>
      <c r="D183" s="189"/>
      <c r="E183" s="189"/>
      <c r="F183" s="189"/>
      <c r="G183" s="189"/>
      <c r="H183" s="189"/>
      <c r="I183" s="189"/>
      <c r="J183" s="189"/>
      <c r="K183" s="190"/>
      <c r="L183" s="190"/>
      <c r="M183" s="190"/>
      <c r="N183" s="190"/>
      <c r="O183" s="190"/>
      <c r="P183" s="189"/>
    </row>
    <row r="184" spans="1:16">
      <c r="A184" s="189"/>
      <c r="B184" s="189"/>
      <c r="C184" s="189"/>
      <c r="D184" s="189"/>
      <c r="E184" s="189"/>
      <c r="F184" s="189"/>
      <c r="G184" s="189"/>
      <c r="H184" s="189"/>
      <c r="I184" s="189"/>
      <c r="J184" s="189"/>
      <c r="K184" s="190"/>
      <c r="L184" s="190"/>
      <c r="M184" s="190"/>
      <c r="N184" s="190"/>
      <c r="O184" s="190"/>
      <c r="P184" s="189"/>
    </row>
    <row r="185" spans="1:16">
      <c r="A185" s="189"/>
      <c r="B185" s="189"/>
      <c r="C185" s="189"/>
      <c r="D185" s="189"/>
      <c r="E185" s="189"/>
      <c r="F185" s="189"/>
      <c r="G185" s="189"/>
      <c r="H185" s="189"/>
      <c r="I185" s="189"/>
      <c r="J185" s="189"/>
      <c r="K185" s="190"/>
      <c r="L185" s="190"/>
      <c r="M185" s="190"/>
      <c r="N185" s="190"/>
      <c r="O185" s="190"/>
      <c r="P185" s="189"/>
    </row>
    <row r="186" spans="1:16">
      <c r="A186" s="189"/>
      <c r="B186" s="189"/>
      <c r="C186" s="189"/>
      <c r="D186" s="189"/>
      <c r="E186" s="189"/>
      <c r="F186" s="189"/>
      <c r="G186" s="189"/>
      <c r="H186" s="189"/>
      <c r="I186" s="189"/>
      <c r="J186" s="189"/>
      <c r="K186" s="190"/>
      <c r="L186" s="190"/>
      <c r="M186" s="190"/>
      <c r="N186" s="190"/>
      <c r="O186" s="190"/>
      <c r="P186" s="189"/>
    </row>
    <row r="187" spans="1:16">
      <c r="A187" s="189"/>
      <c r="B187" s="189"/>
      <c r="C187" s="189"/>
      <c r="D187" s="189"/>
      <c r="E187" s="189"/>
      <c r="F187" s="189"/>
      <c r="G187" s="189"/>
      <c r="H187" s="189"/>
      <c r="I187" s="189"/>
      <c r="J187" s="189"/>
      <c r="K187" s="190"/>
      <c r="L187" s="190"/>
      <c r="M187" s="190"/>
      <c r="N187" s="190"/>
      <c r="O187" s="190"/>
      <c r="P187" s="189"/>
    </row>
    <row r="188" spans="1:16">
      <c r="A188" s="189"/>
      <c r="B188" s="189"/>
      <c r="C188" s="189"/>
      <c r="D188" s="189"/>
      <c r="E188" s="189"/>
      <c r="F188" s="189"/>
      <c r="G188" s="189"/>
      <c r="H188" s="189"/>
      <c r="I188" s="189"/>
      <c r="J188" s="189"/>
      <c r="K188" s="190"/>
      <c r="L188" s="190"/>
      <c r="M188" s="190"/>
      <c r="N188" s="190"/>
      <c r="O188" s="190"/>
      <c r="P188" s="189"/>
    </row>
    <row r="189" spans="1:16">
      <c r="A189" s="189"/>
      <c r="B189" s="189"/>
      <c r="C189" s="189"/>
      <c r="D189" s="189"/>
      <c r="E189" s="189"/>
      <c r="F189" s="189"/>
      <c r="G189" s="189"/>
      <c r="H189" s="189"/>
      <c r="I189" s="189"/>
      <c r="J189" s="189"/>
      <c r="K189" s="190"/>
      <c r="L189" s="190"/>
      <c r="M189" s="190"/>
      <c r="N189" s="190"/>
      <c r="O189" s="190"/>
      <c r="P189" s="189"/>
    </row>
    <row r="190" spans="1:16">
      <c r="A190" s="189"/>
      <c r="B190" s="189"/>
      <c r="C190" s="189"/>
      <c r="D190" s="189"/>
      <c r="E190" s="189"/>
      <c r="F190" s="189"/>
      <c r="G190" s="189"/>
      <c r="H190" s="189"/>
      <c r="I190" s="189"/>
      <c r="J190" s="189"/>
      <c r="K190" s="190"/>
      <c r="L190" s="190"/>
      <c r="M190" s="190"/>
      <c r="N190" s="190"/>
      <c r="O190" s="190"/>
      <c r="P190" s="189"/>
    </row>
    <row r="191" spans="1:16">
      <c r="A191" s="189"/>
      <c r="B191" s="189"/>
      <c r="C191" s="189"/>
      <c r="D191" s="189"/>
      <c r="E191" s="189"/>
      <c r="F191" s="189"/>
      <c r="G191" s="189"/>
      <c r="H191" s="189"/>
      <c r="I191" s="189"/>
      <c r="J191" s="189"/>
      <c r="K191" s="190"/>
      <c r="L191" s="190"/>
      <c r="M191" s="190"/>
      <c r="N191" s="190"/>
      <c r="O191" s="190"/>
      <c r="P191" s="189"/>
    </row>
    <row r="192" spans="1:16">
      <c r="A192" s="189"/>
      <c r="B192" s="189"/>
      <c r="C192" s="189"/>
      <c r="D192" s="189"/>
      <c r="E192" s="189"/>
      <c r="F192" s="189"/>
      <c r="G192" s="189"/>
      <c r="H192" s="189"/>
      <c r="I192" s="189"/>
      <c r="J192" s="189"/>
      <c r="K192" s="190"/>
      <c r="L192" s="190"/>
      <c r="M192" s="190"/>
      <c r="N192" s="190"/>
      <c r="O192" s="190"/>
      <c r="P192" s="189"/>
    </row>
    <row r="193" spans="1:16">
      <c r="A193" s="189"/>
      <c r="B193" s="189"/>
      <c r="C193" s="189"/>
      <c r="D193" s="189"/>
      <c r="E193" s="189"/>
      <c r="F193" s="189"/>
      <c r="G193" s="189"/>
      <c r="H193" s="189"/>
      <c r="I193" s="189"/>
      <c r="J193" s="189"/>
      <c r="K193" s="190"/>
      <c r="L193" s="190"/>
      <c r="M193" s="190"/>
      <c r="N193" s="190"/>
      <c r="O193" s="190"/>
      <c r="P193" s="189"/>
    </row>
    <row r="194" spans="1:16">
      <c r="A194" s="189"/>
      <c r="B194" s="189"/>
      <c r="C194" s="189"/>
      <c r="D194" s="189"/>
      <c r="E194" s="189"/>
      <c r="F194" s="189"/>
      <c r="G194" s="189"/>
      <c r="H194" s="189"/>
      <c r="I194" s="189"/>
      <c r="J194" s="189"/>
      <c r="K194" s="190"/>
      <c r="L194" s="190"/>
      <c r="M194" s="190"/>
      <c r="N194" s="190"/>
      <c r="O194" s="190"/>
      <c r="P194" s="189"/>
    </row>
    <row r="195" spans="1:16">
      <c r="A195" s="189"/>
      <c r="B195" s="189"/>
      <c r="C195" s="189"/>
      <c r="D195" s="189"/>
      <c r="E195" s="189"/>
      <c r="F195" s="189"/>
      <c r="G195" s="189"/>
      <c r="H195" s="189"/>
      <c r="I195" s="189"/>
      <c r="J195" s="189"/>
      <c r="K195" s="190"/>
      <c r="L195" s="190"/>
      <c r="M195" s="190"/>
      <c r="N195" s="190"/>
      <c r="O195" s="190"/>
      <c r="P195" s="189"/>
    </row>
    <row r="196" spans="1:16">
      <c r="A196" s="189"/>
      <c r="B196" s="189"/>
      <c r="C196" s="189"/>
      <c r="D196" s="189"/>
      <c r="E196" s="189"/>
      <c r="F196" s="189"/>
      <c r="G196" s="189"/>
      <c r="H196" s="189"/>
      <c r="I196" s="189"/>
      <c r="J196" s="189"/>
      <c r="K196" s="190"/>
      <c r="L196" s="190"/>
      <c r="M196" s="190"/>
      <c r="N196" s="190"/>
      <c r="O196" s="190"/>
      <c r="P196" s="189"/>
    </row>
    <row r="197" spans="1:16">
      <c r="A197" s="189"/>
      <c r="B197" s="189"/>
      <c r="C197" s="189"/>
      <c r="D197" s="189"/>
      <c r="E197" s="189"/>
      <c r="F197" s="189"/>
      <c r="G197" s="189"/>
      <c r="H197" s="189"/>
      <c r="I197" s="189"/>
      <c r="J197" s="189"/>
      <c r="K197" s="190"/>
      <c r="L197" s="190"/>
      <c r="M197" s="190"/>
      <c r="N197" s="190"/>
      <c r="O197" s="190"/>
      <c r="P197" s="189"/>
    </row>
    <row r="198" spans="1:16">
      <c r="A198" s="189"/>
      <c r="B198" s="189"/>
      <c r="C198" s="189"/>
      <c r="D198" s="189"/>
      <c r="E198" s="189"/>
      <c r="F198" s="189"/>
      <c r="G198" s="189"/>
      <c r="H198" s="189"/>
      <c r="I198" s="189"/>
      <c r="J198" s="189"/>
      <c r="K198" s="190"/>
      <c r="L198" s="190"/>
      <c r="M198" s="190"/>
      <c r="N198" s="190"/>
      <c r="O198" s="190"/>
      <c r="P198" s="189"/>
    </row>
    <row r="199" spans="1:16">
      <c r="A199" s="189"/>
      <c r="B199" s="189"/>
      <c r="C199" s="189"/>
      <c r="D199" s="189"/>
      <c r="E199" s="189"/>
      <c r="F199" s="189"/>
      <c r="G199" s="189"/>
      <c r="H199" s="189"/>
      <c r="I199" s="189"/>
      <c r="J199" s="189"/>
      <c r="K199" s="190"/>
      <c r="L199" s="190"/>
      <c r="M199" s="190"/>
      <c r="N199" s="190"/>
      <c r="O199" s="190"/>
      <c r="P199" s="189"/>
    </row>
    <row r="200" spans="1:16">
      <c r="A200" s="189"/>
      <c r="B200" s="189"/>
      <c r="C200" s="189"/>
      <c r="D200" s="189"/>
      <c r="E200" s="189"/>
      <c r="F200" s="189"/>
      <c r="G200" s="189"/>
      <c r="H200" s="189"/>
      <c r="I200" s="189"/>
      <c r="J200" s="189"/>
      <c r="K200" s="190"/>
      <c r="L200" s="190"/>
      <c r="M200" s="190"/>
      <c r="N200" s="190"/>
      <c r="O200" s="190"/>
      <c r="P200" s="189"/>
    </row>
    <row r="201" spans="1:16">
      <c r="A201" s="189"/>
      <c r="B201" s="189"/>
      <c r="C201" s="189"/>
      <c r="D201" s="189"/>
      <c r="E201" s="189"/>
      <c r="F201" s="189"/>
      <c r="G201" s="189"/>
      <c r="H201" s="189"/>
      <c r="I201" s="189"/>
      <c r="J201" s="189"/>
      <c r="K201" s="190"/>
      <c r="L201" s="190"/>
      <c r="M201" s="190"/>
      <c r="N201" s="190"/>
      <c r="O201" s="190"/>
      <c r="P201" s="189"/>
    </row>
    <row r="202" spans="1:16">
      <c r="A202" s="189"/>
      <c r="B202" s="189"/>
      <c r="C202" s="189"/>
      <c r="D202" s="189"/>
      <c r="E202" s="189"/>
      <c r="F202" s="189"/>
      <c r="G202" s="189"/>
      <c r="H202" s="189"/>
      <c r="I202" s="189"/>
      <c r="J202" s="189"/>
      <c r="K202" s="190"/>
      <c r="L202" s="190"/>
      <c r="M202" s="190"/>
      <c r="N202" s="190"/>
      <c r="O202" s="190"/>
      <c r="P202" s="189"/>
    </row>
    <row r="203" spans="1:16">
      <c r="A203" s="189"/>
      <c r="B203" s="189"/>
      <c r="C203" s="189"/>
      <c r="D203" s="189"/>
      <c r="E203" s="189"/>
      <c r="F203" s="189"/>
      <c r="G203" s="189"/>
      <c r="H203" s="189"/>
      <c r="I203" s="189"/>
      <c r="J203" s="189"/>
      <c r="K203" s="190"/>
      <c r="L203" s="190"/>
      <c r="M203" s="190"/>
      <c r="N203" s="190"/>
      <c r="O203" s="190"/>
      <c r="P203" s="189"/>
    </row>
    <row r="204" spans="1:16">
      <c r="A204" s="189"/>
      <c r="B204" s="189"/>
      <c r="C204" s="189"/>
      <c r="D204" s="189"/>
      <c r="E204" s="189"/>
      <c r="F204" s="189"/>
      <c r="G204" s="189"/>
      <c r="H204" s="189"/>
      <c r="I204" s="189"/>
      <c r="J204" s="189"/>
      <c r="K204" s="190"/>
      <c r="L204" s="190"/>
      <c r="M204" s="190"/>
      <c r="N204" s="190"/>
      <c r="O204" s="190"/>
      <c r="P204" s="189"/>
    </row>
    <row r="205" spans="1:16">
      <c r="A205" s="189"/>
      <c r="B205" s="189"/>
      <c r="C205" s="189"/>
      <c r="D205" s="189"/>
      <c r="E205" s="189"/>
      <c r="F205" s="189"/>
      <c r="G205" s="189"/>
      <c r="H205" s="189"/>
      <c r="I205" s="189"/>
      <c r="J205" s="189"/>
      <c r="K205" s="190"/>
      <c r="L205" s="190"/>
      <c r="M205" s="190"/>
      <c r="N205" s="190"/>
      <c r="O205" s="190"/>
      <c r="P205" s="189"/>
    </row>
    <row r="206" spans="1:16">
      <c r="A206" s="189"/>
      <c r="B206" s="189"/>
      <c r="C206" s="189"/>
      <c r="D206" s="189"/>
      <c r="E206" s="189"/>
      <c r="F206" s="189"/>
      <c r="G206" s="189"/>
      <c r="H206" s="189"/>
      <c r="I206" s="189"/>
      <c r="J206" s="189"/>
      <c r="K206" s="190"/>
      <c r="L206" s="190"/>
      <c r="M206" s="190"/>
      <c r="N206" s="190"/>
      <c r="O206" s="190"/>
      <c r="P206" s="189"/>
    </row>
    <row r="207" spans="1:16">
      <c r="A207" s="189"/>
      <c r="B207" s="189"/>
      <c r="C207" s="189"/>
      <c r="D207" s="189"/>
      <c r="E207" s="189"/>
      <c r="F207" s="189"/>
      <c r="G207" s="189"/>
      <c r="H207" s="189"/>
      <c r="I207" s="189"/>
      <c r="J207" s="189"/>
      <c r="K207" s="190"/>
      <c r="L207" s="190"/>
      <c r="M207" s="190"/>
      <c r="N207" s="190"/>
      <c r="O207" s="190"/>
      <c r="P207" s="189"/>
    </row>
    <row r="208" spans="1:16">
      <c r="A208" s="189"/>
      <c r="B208" s="189"/>
      <c r="C208" s="189"/>
      <c r="D208" s="189"/>
      <c r="E208" s="189"/>
      <c r="F208" s="189"/>
      <c r="G208" s="189"/>
      <c r="H208" s="189"/>
      <c r="I208" s="189"/>
      <c r="J208" s="189"/>
      <c r="K208" s="190"/>
      <c r="L208" s="190"/>
      <c r="M208" s="190"/>
      <c r="N208" s="190"/>
      <c r="O208" s="190"/>
      <c r="P208" s="189"/>
    </row>
    <row r="209" spans="1:16">
      <c r="A209" s="189"/>
      <c r="B209" s="189"/>
      <c r="C209" s="189"/>
      <c r="D209" s="189"/>
      <c r="E209" s="189"/>
      <c r="F209" s="189"/>
      <c r="G209" s="189"/>
      <c r="H209" s="189"/>
      <c r="I209" s="189"/>
      <c r="J209" s="189"/>
      <c r="K209" s="190"/>
      <c r="L209" s="190"/>
      <c r="M209" s="190"/>
      <c r="N209" s="190"/>
      <c r="O209" s="190"/>
      <c r="P209" s="189"/>
    </row>
    <row r="210" spans="1:16">
      <c r="A210" s="189"/>
      <c r="B210" s="189"/>
      <c r="C210" s="189"/>
      <c r="D210" s="189"/>
      <c r="E210" s="189"/>
      <c r="F210" s="189"/>
      <c r="G210" s="189"/>
      <c r="H210" s="189"/>
      <c r="I210" s="189"/>
      <c r="J210" s="189"/>
      <c r="K210" s="190"/>
      <c r="L210" s="190"/>
      <c r="M210" s="190"/>
      <c r="N210" s="190"/>
      <c r="O210" s="190"/>
      <c r="P210" s="189"/>
    </row>
    <row r="211" spans="1:16">
      <c r="A211" s="189"/>
      <c r="B211" s="189"/>
      <c r="C211" s="189"/>
      <c r="D211" s="189"/>
      <c r="E211" s="189"/>
      <c r="F211" s="189"/>
      <c r="G211" s="189"/>
      <c r="H211" s="189"/>
      <c r="I211" s="189"/>
      <c r="J211" s="189"/>
      <c r="K211" s="190"/>
      <c r="L211" s="190"/>
      <c r="M211" s="190"/>
      <c r="N211" s="190"/>
      <c r="O211" s="190"/>
      <c r="P211" s="189"/>
    </row>
    <row r="212" spans="1:16">
      <c r="A212" s="189"/>
      <c r="B212" s="189"/>
      <c r="C212" s="189"/>
      <c r="D212" s="189"/>
      <c r="E212" s="189"/>
      <c r="F212" s="189"/>
      <c r="G212" s="189"/>
      <c r="H212" s="189"/>
      <c r="I212" s="189"/>
      <c r="J212" s="189"/>
      <c r="K212" s="190"/>
      <c r="L212" s="190"/>
      <c r="M212" s="190"/>
      <c r="N212" s="190"/>
      <c r="O212" s="190"/>
      <c r="P212" s="189"/>
    </row>
    <row r="213" spans="1:16">
      <c r="A213" s="189"/>
      <c r="B213" s="189"/>
      <c r="C213" s="189"/>
      <c r="D213" s="189"/>
      <c r="E213" s="189"/>
      <c r="F213" s="189"/>
      <c r="G213" s="189"/>
      <c r="H213" s="189"/>
      <c r="I213" s="189"/>
      <c r="J213" s="189"/>
      <c r="K213" s="190"/>
      <c r="L213" s="190"/>
      <c r="M213" s="190"/>
      <c r="N213" s="190"/>
      <c r="O213" s="190"/>
      <c r="P213" s="189"/>
    </row>
    <row r="214" spans="1:16">
      <c r="A214" s="189"/>
      <c r="B214" s="189"/>
      <c r="C214" s="189"/>
      <c r="D214" s="189"/>
      <c r="E214" s="189"/>
      <c r="F214" s="189"/>
      <c r="G214" s="189"/>
      <c r="H214" s="189"/>
      <c r="I214" s="189"/>
      <c r="J214" s="189"/>
      <c r="K214" s="190"/>
      <c r="L214" s="190"/>
      <c r="M214" s="190"/>
      <c r="N214" s="190"/>
      <c r="O214" s="190"/>
      <c r="P214" s="189"/>
    </row>
    <row r="215" spans="1:16">
      <c r="A215" s="189"/>
      <c r="B215" s="189"/>
      <c r="C215" s="189"/>
      <c r="D215" s="189"/>
      <c r="E215" s="189"/>
      <c r="F215" s="189"/>
      <c r="G215" s="189"/>
      <c r="H215" s="189"/>
      <c r="I215" s="189"/>
      <c r="J215" s="189"/>
      <c r="K215" s="190"/>
      <c r="L215" s="190"/>
      <c r="M215" s="190"/>
      <c r="N215" s="190"/>
      <c r="O215" s="190"/>
      <c r="P215" s="189"/>
    </row>
    <row r="216" spans="1:16">
      <c r="A216" s="189"/>
      <c r="B216" s="189"/>
      <c r="C216" s="189"/>
      <c r="D216" s="189"/>
      <c r="E216" s="189"/>
      <c r="F216" s="189"/>
      <c r="G216" s="189"/>
      <c r="H216" s="189"/>
      <c r="I216" s="189"/>
      <c r="J216" s="189"/>
      <c r="K216" s="190"/>
      <c r="L216" s="190"/>
      <c r="M216" s="190"/>
      <c r="N216" s="190"/>
      <c r="O216" s="190"/>
      <c r="P216" s="189"/>
    </row>
    <row r="217" spans="1:16">
      <c r="A217" s="189"/>
      <c r="B217" s="189"/>
      <c r="C217" s="189"/>
      <c r="D217" s="189"/>
      <c r="E217" s="189"/>
      <c r="F217" s="189"/>
      <c r="G217" s="189"/>
      <c r="H217" s="189"/>
      <c r="I217" s="189"/>
      <c r="J217" s="189"/>
      <c r="K217" s="190"/>
      <c r="L217" s="190"/>
      <c r="M217" s="190"/>
      <c r="N217" s="190"/>
      <c r="O217" s="190"/>
      <c r="P217" s="189"/>
    </row>
    <row r="218" spans="1:16">
      <c r="A218" s="189"/>
      <c r="B218" s="189"/>
      <c r="C218" s="189"/>
      <c r="D218" s="189"/>
      <c r="E218" s="189"/>
      <c r="F218" s="189"/>
      <c r="G218" s="189"/>
      <c r="H218" s="189"/>
      <c r="I218" s="189"/>
      <c r="J218" s="189"/>
      <c r="K218" s="190"/>
      <c r="L218" s="190"/>
      <c r="M218" s="190"/>
      <c r="N218" s="190"/>
      <c r="O218" s="190"/>
      <c r="P218" s="189"/>
    </row>
    <row r="219" spans="1:16">
      <c r="A219" s="189"/>
      <c r="B219" s="189"/>
      <c r="C219" s="189"/>
      <c r="D219" s="189"/>
      <c r="E219" s="189"/>
      <c r="F219" s="189"/>
      <c r="G219" s="189"/>
      <c r="H219" s="189"/>
      <c r="I219" s="189"/>
      <c r="J219" s="189"/>
      <c r="K219" s="190"/>
      <c r="L219" s="190"/>
      <c r="M219" s="190"/>
      <c r="N219" s="190"/>
      <c r="O219" s="190"/>
      <c r="P219" s="189"/>
    </row>
    <row r="220" spans="1:16">
      <c r="A220" s="189"/>
      <c r="B220" s="189"/>
      <c r="C220" s="189"/>
      <c r="D220" s="189"/>
      <c r="E220" s="189"/>
      <c r="F220" s="189"/>
      <c r="G220" s="189"/>
      <c r="H220" s="189"/>
      <c r="I220" s="189"/>
      <c r="J220" s="189"/>
      <c r="K220" s="190"/>
      <c r="L220" s="190"/>
      <c r="M220" s="190"/>
      <c r="N220" s="190"/>
      <c r="O220" s="190"/>
      <c r="P220" s="189"/>
    </row>
    <row r="221" spans="1:16">
      <c r="A221" s="189"/>
      <c r="B221" s="189"/>
      <c r="C221" s="189"/>
      <c r="D221" s="189"/>
      <c r="E221" s="189"/>
      <c r="F221" s="189"/>
      <c r="G221" s="189"/>
      <c r="H221" s="189"/>
      <c r="I221" s="189"/>
      <c r="J221" s="189"/>
      <c r="K221" s="190"/>
      <c r="L221" s="190"/>
      <c r="M221" s="190"/>
      <c r="N221" s="190"/>
      <c r="O221" s="190"/>
      <c r="P221" s="189"/>
    </row>
    <row r="222" spans="1:16">
      <c r="A222" s="189"/>
      <c r="B222" s="189"/>
      <c r="C222" s="189"/>
      <c r="D222" s="189"/>
      <c r="E222" s="189"/>
      <c r="F222" s="189"/>
      <c r="G222" s="189"/>
      <c r="H222" s="189"/>
      <c r="I222" s="189"/>
      <c r="J222" s="189"/>
      <c r="K222" s="190"/>
      <c r="L222" s="190"/>
      <c r="M222" s="190"/>
      <c r="N222" s="190"/>
      <c r="O222" s="190"/>
      <c r="P222" s="189"/>
    </row>
    <row r="223" spans="1:16">
      <c r="A223" s="189"/>
      <c r="B223" s="189"/>
      <c r="C223" s="189"/>
      <c r="D223" s="189"/>
      <c r="E223" s="189"/>
      <c r="F223" s="189"/>
      <c r="G223" s="189"/>
      <c r="H223" s="189"/>
      <c r="I223" s="189"/>
      <c r="J223" s="189"/>
      <c r="K223" s="190"/>
      <c r="L223" s="190"/>
      <c r="M223" s="190"/>
      <c r="N223" s="190"/>
      <c r="O223" s="190"/>
      <c r="P223" s="189"/>
    </row>
    <row r="224" spans="1:16">
      <c r="A224" s="189"/>
      <c r="B224" s="189"/>
      <c r="C224" s="189"/>
      <c r="D224" s="189"/>
      <c r="E224" s="189"/>
      <c r="F224" s="189"/>
      <c r="G224" s="189"/>
      <c r="H224" s="189"/>
      <c r="I224" s="189"/>
      <c r="J224" s="189"/>
      <c r="K224" s="190"/>
      <c r="L224" s="190"/>
      <c r="M224" s="190"/>
      <c r="N224" s="190"/>
      <c r="O224" s="190"/>
      <c r="P224" s="189"/>
    </row>
    <row r="225" spans="1:16">
      <c r="A225" s="189"/>
      <c r="B225" s="189"/>
      <c r="C225" s="189"/>
      <c r="D225" s="189"/>
      <c r="E225" s="189"/>
      <c r="F225" s="189"/>
      <c r="G225" s="189"/>
      <c r="H225" s="189"/>
      <c r="I225" s="189"/>
      <c r="J225" s="189"/>
      <c r="K225" s="190"/>
      <c r="L225" s="190"/>
      <c r="M225" s="190"/>
      <c r="N225" s="190"/>
      <c r="O225" s="190"/>
      <c r="P225" s="189"/>
    </row>
    <row r="226" spans="1:16">
      <c r="A226" s="189"/>
      <c r="B226" s="189"/>
      <c r="C226" s="189"/>
      <c r="D226" s="189"/>
      <c r="E226" s="189"/>
      <c r="F226" s="189"/>
      <c r="G226" s="189"/>
      <c r="H226" s="189"/>
      <c r="I226" s="189"/>
      <c r="J226" s="189"/>
      <c r="K226" s="190"/>
      <c r="L226" s="190"/>
      <c r="M226" s="190"/>
      <c r="N226" s="190"/>
      <c r="O226" s="190"/>
      <c r="P226" s="189"/>
    </row>
    <row r="227" spans="1:16">
      <c r="A227" s="189"/>
      <c r="B227" s="189"/>
      <c r="C227" s="189"/>
      <c r="D227" s="189"/>
      <c r="E227" s="189"/>
      <c r="F227" s="189"/>
      <c r="G227" s="189"/>
      <c r="H227" s="189"/>
      <c r="I227" s="189"/>
      <c r="J227" s="189"/>
      <c r="K227" s="190"/>
      <c r="L227" s="190"/>
      <c r="M227" s="190"/>
      <c r="N227" s="190"/>
      <c r="O227" s="190"/>
      <c r="P227" s="189"/>
    </row>
    <row r="228" spans="1:16">
      <c r="A228" s="189"/>
      <c r="B228" s="189"/>
      <c r="C228" s="189"/>
      <c r="D228" s="189"/>
      <c r="E228" s="189"/>
      <c r="F228" s="189"/>
      <c r="G228" s="189"/>
      <c r="H228" s="189"/>
      <c r="I228" s="189"/>
      <c r="J228" s="189"/>
      <c r="K228" s="190"/>
      <c r="L228" s="190"/>
      <c r="M228" s="190"/>
      <c r="N228" s="190"/>
      <c r="O228" s="190"/>
      <c r="P228" s="189"/>
    </row>
    <row r="229" spans="1:16">
      <c r="A229" s="189"/>
      <c r="B229" s="189"/>
      <c r="C229" s="189"/>
      <c r="D229" s="189"/>
      <c r="E229" s="189"/>
      <c r="F229" s="189"/>
      <c r="G229" s="189"/>
      <c r="H229" s="189"/>
      <c r="I229" s="189"/>
      <c r="J229" s="189"/>
      <c r="K229" s="190"/>
      <c r="L229" s="190"/>
      <c r="M229" s="190"/>
      <c r="N229" s="190"/>
      <c r="O229" s="190"/>
      <c r="P229" s="189"/>
    </row>
    <row r="230" spans="1:16">
      <c r="A230" s="189"/>
      <c r="B230" s="189"/>
      <c r="C230" s="189"/>
      <c r="D230" s="189"/>
      <c r="E230" s="189"/>
      <c r="F230" s="189"/>
      <c r="G230" s="189"/>
      <c r="H230" s="189"/>
      <c r="I230" s="189"/>
      <c r="J230" s="189"/>
      <c r="K230" s="190"/>
      <c r="L230" s="190"/>
      <c r="M230" s="190"/>
      <c r="N230" s="190"/>
      <c r="O230" s="190"/>
      <c r="P230" s="189"/>
    </row>
    <row r="231" spans="1:16">
      <c r="A231" s="189"/>
      <c r="B231" s="189"/>
      <c r="C231" s="189"/>
      <c r="D231" s="189"/>
      <c r="E231" s="189"/>
      <c r="F231" s="189"/>
      <c r="G231" s="189"/>
      <c r="H231" s="189"/>
      <c r="I231" s="189"/>
      <c r="J231" s="189"/>
      <c r="K231" s="190"/>
      <c r="L231" s="190"/>
      <c r="M231" s="190"/>
      <c r="N231" s="190"/>
      <c r="O231" s="190"/>
      <c r="P231" s="189"/>
    </row>
    <row r="232" spans="1:16">
      <c r="A232" s="189"/>
      <c r="B232" s="189"/>
      <c r="C232" s="189"/>
      <c r="D232" s="189"/>
      <c r="E232" s="189"/>
      <c r="F232" s="189"/>
      <c r="G232" s="189"/>
      <c r="H232" s="189"/>
      <c r="I232" s="189"/>
      <c r="J232" s="189"/>
      <c r="K232" s="190"/>
      <c r="L232" s="190"/>
      <c r="M232" s="190"/>
      <c r="N232" s="190"/>
      <c r="O232" s="190"/>
      <c r="P232" s="189"/>
    </row>
    <row r="233" spans="1:16">
      <c r="A233" s="189"/>
      <c r="B233" s="189"/>
      <c r="C233" s="189"/>
      <c r="D233" s="189"/>
      <c r="E233" s="189"/>
      <c r="F233" s="189"/>
      <c r="G233" s="189"/>
      <c r="H233" s="189"/>
      <c r="I233" s="189"/>
      <c r="J233" s="189"/>
      <c r="K233" s="190"/>
      <c r="L233" s="190"/>
      <c r="M233" s="190"/>
      <c r="N233" s="190"/>
      <c r="O233" s="190"/>
      <c r="P233" s="189"/>
    </row>
    <row r="234" spans="1:16">
      <c r="A234" s="189"/>
      <c r="B234" s="189"/>
      <c r="C234" s="189"/>
      <c r="D234" s="189"/>
      <c r="E234" s="189"/>
      <c r="F234" s="189"/>
      <c r="G234" s="189"/>
      <c r="H234" s="189"/>
      <c r="I234" s="189"/>
      <c r="J234" s="189"/>
      <c r="K234" s="190"/>
      <c r="L234" s="190"/>
      <c r="M234" s="190"/>
      <c r="N234" s="190"/>
      <c r="O234" s="190"/>
      <c r="P234" s="189"/>
    </row>
    <row r="235" spans="1:16">
      <c r="A235" s="189"/>
      <c r="B235" s="189"/>
      <c r="C235" s="189"/>
      <c r="D235" s="189"/>
      <c r="E235" s="189"/>
      <c r="F235" s="189"/>
      <c r="G235" s="189"/>
      <c r="H235" s="189"/>
      <c r="I235" s="189"/>
      <c r="J235" s="189"/>
      <c r="K235" s="190"/>
      <c r="L235" s="190"/>
      <c r="M235" s="190"/>
      <c r="N235" s="190"/>
      <c r="O235" s="190"/>
      <c r="P235" s="189"/>
    </row>
    <row r="236" spans="1:16">
      <c r="A236" s="189"/>
      <c r="B236" s="189"/>
      <c r="C236" s="189"/>
      <c r="D236" s="189"/>
      <c r="E236" s="189"/>
      <c r="F236" s="189"/>
      <c r="G236" s="189"/>
      <c r="H236" s="189"/>
      <c r="I236" s="189"/>
      <c r="J236" s="189"/>
      <c r="K236" s="190"/>
      <c r="L236" s="190"/>
      <c r="M236" s="190"/>
      <c r="N236" s="190"/>
      <c r="O236" s="190"/>
      <c r="P236" s="189"/>
    </row>
    <row r="237" spans="1:16">
      <c r="A237" s="189"/>
      <c r="B237" s="189"/>
      <c r="C237" s="189"/>
      <c r="D237" s="189"/>
      <c r="E237" s="189"/>
      <c r="F237" s="189"/>
      <c r="G237" s="189"/>
      <c r="H237" s="189"/>
      <c r="I237" s="189"/>
      <c r="J237" s="189"/>
      <c r="K237" s="190"/>
      <c r="L237" s="190"/>
      <c r="M237" s="190"/>
      <c r="N237" s="190"/>
      <c r="O237" s="190"/>
      <c r="P237" s="189"/>
    </row>
    <row r="238" spans="1:16">
      <c r="A238" s="189"/>
      <c r="B238" s="189"/>
      <c r="C238" s="189"/>
      <c r="D238" s="189"/>
      <c r="E238" s="189"/>
      <c r="F238" s="189"/>
      <c r="G238" s="189"/>
      <c r="H238" s="189"/>
      <c r="I238" s="189"/>
      <c r="J238" s="189"/>
      <c r="K238" s="190"/>
      <c r="L238" s="190"/>
      <c r="M238" s="190"/>
      <c r="N238" s="190"/>
      <c r="O238" s="190"/>
      <c r="P238" s="189"/>
    </row>
    <row r="239" spans="1:16">
      <c r="A239" s="189"/>
      <c r="B239" s="189"/>
      <c r="C239" s="189"/>
      <c r="D239" s="189"/>
      <c r="E239" s="189"/>
      <c r="F239" s="189"/>
      <c r="G239" s="189"/>
      <c r="H239" s="189"/>
      <c r="I239" s="189"/>
      <c r="J239" s="189"/>
      <c r="K239" s="190"/>
      <c r="L239" s="190"/>
      <c r="M239" s="190"/>
      <c r="N239" s="190"/>
      <c r="O239" s="190"/>
      <c r="P239" s="189"/>
    </row>
    <row r="240" spans="1:16">
      <c r="A240" s="189"/>
      <c r="B240" s="189"/>
      <c r="C240" s="189"/>
      <c r="D240" s="189"/>
      <c r="E240" s="189"/>
      <c r="F240" s="189"/>
      <c r="G240" s="189"/>
      <c r="H240" s="189"/>
      <c r="I240" s="189"/>
      <c r="J240" s="189"/>
      <c r="K240" s="190"/>
      <c r="L240" s="190"/>
      <c r="M240" s="190"/>
      <c r="N240" s="190"/>
      <c r="O240" s="190"/>
      <c r="P240" s="189"/>
    </row>
    <row r="241" spans="1:16">
      <c r="A241" s="189"/>
      <c r="B241" s="189"/>
      <c r="C241" s="189"/>
      <c r="D241" s="189"/>
      <c r="E241" s="189"/>
      <c r="F241" s="189"/>
      <c r="G241" s="189"/>
      <c r="H241" s="189"/>
      <c r="I241" s="189"/>
      <c r="J241" s="189"/>
      <c r="K241" s="190"/>
      <c r="L241" s="190"/>
      <c r="M241" s="190"/>
      <c r="N241" s="190"/>
      <c r="O241" s="190"/>
      <c r="P241" s="189"/>
    </row>
    <row r="242" spans="1:16">
      <c r="A242" s="189"/>
      <c r="B242" s="189"/>
      <c r="C242" s="189"/>
      <c r="D242" s="189"/>
      <c r="E242" s="189"/>
      <c r="F242" s="189"/>
      <c r="G242" s="189"/>
      <c r="H242" s="189"/>
      <c r="I242" s="189"/>
      <c r="J242" s="189"/>
      <c r="K242" s="190"/>
      <c r="L242" s="190"/>
      <c r="M242" s="190"/>
      <c r="N242" s="190"/>
      <c r="O242" s="190"/>
      <c r="P242" s="189"/>
    </row>
    <row r="243" spans="1:16">
      <c r="A243" s="189"/>
      <c r="B243" s="189"/>
      <c r="C243" s="189"/>
      <c r="D243" s="189"/>
      <c r="E243" s="189"/>
      <c r="F243" s="189"/>
      <c r="G243" s="189"/>
      <c r="H243" s="189"/>
      <c r="I243" s="189"/>
      <c r="J243" s="189"/>
      <c r="K243" s="190"/>
      <c r="L243" s="190"/>
      <c r="M243" s="190"/>
      <c r="N243" s="190"/>
      <c r="O243" s="190"/>
      <c r="P243" s="189"/>
    </row>
    <row r="244" spans="1:16">
      <c r="A244" s="189"/>
      <c r="B244" s="189"/>
      <c r="C244" s="189"/>
      <c r="D244" s="189"/>
      <c r="E244" s="189"/>
      <c r="F244" s="189"/>
      <c r="G244" s="189"/>
      <c r="H244" s="189"/>
      <c r="I244" s="189"/>
      <c r="J244" s="189"/>
      <c r="K244" s="190"/>
      <c r="L244" s="190"/>
      <c r="M244" s="190"/>
      <c r="N244" s="190"/>
      <c r="O244" s="190"/>
      <c r="P244" s="189"/>
    </row>
    <row r="245" spans="1:16">
      <c r="A245" s="189"/>
      <c r="B245" s="189"/>
      <c r="C245" s="189"/>
      <c r="D245" s="189"/>
      <c r="E245" s="189"/>
      <c r="F245" s="189"/>
      <c r="G245" s="189"/>
      <c r="H245" s="189"/>
      <c r="I245" s="189"/>
      <c r="J245" s="189"/>
      <c r="K245" s="190"/>
      <c r="L245" s="190"/>
      <c r="M245" s="190"/>
      <c r="N245" s="190"/>
      <c r="O245" s="190"/>
      <c r="P245" s="189"/>
    </row>
    <row r="246" spans="1:16">
      <c r="A246" s="189"/>
      <c r="B246" s="189"/>
      <c r="C246" s="189"/>
      <c r="D246" s="189"/>
      <c r="E246" s="189"/>
      <c r="F246" s="189"/>
      <c r="G246" s="189"/>
      <c r="H246" s="189"/>
      <c r="I246" s="189"/>
      <c r="J246" s="189"/>
      <c r="K246" s="190"/>
      <c r="L246" s="190"/>
      <c r="M246" s="190"/>
      <c r="N246" s="190"/>
      <c r="O246" s="190"/>
      <c r="P246" s="189"/>
    </row>
    <row r="247" spans="1:16">
      <c r="A247" s="189"/>
      <c r="B247" s="189"/>
      <c r="C247" s="189"/>
      <c r="D247" s="189"/>
      <c r="E247" s="189"/>
      <c r="F247" s="189"/>
      <c r="G247" s="189"/>
      <c r="H247" s="189"/>
      <c r="I247" s="189"/>
      <c r="J247" s="189"/>
      <c r="K247" s="190"/>
      <c r="L247" s="190"/>
      <c r="M247" s="190"/>
      <c r="N247" s="190"/>
      <c r="O247" s="190"/>
      <c r="P247" s="189"/>
    </row>
    <row r="248" spans="1:16">
      <c r="A248" s="189"/>
      <c r="B248" s="189"/>
      <c r="C248" s="189"/>
      <c r="D248" s="189"/>
      <c r="E248" s="189"/>
      <c r="F248" s="189"/>
      <c r="G248" s="189"/>
      <c r="H248" s="189"/>
      <c r="I248" s="189"/>
      <c r="J248" s="189"/>
      <c r="K248" s="190"/>
      <c r="L248" s="190"/>
      <c r="M248" s="190"/>
      <c r="N248" s="190"/>
      <c r="O248" s="190"/>
      <c r="P248" s="189"/>
    </row>
    <row r="249" spans="1:16">
      <c r="A249" s="189"/>
      <c r="B249" s="189"/>
      <c r="C249" s="189"/>
      <c r="D249" s="189"/>
      <c r="E249" s="189"/>
      <c r="F249" s="189"/>
      <c r="G249" s="189"/>
      <c r="H249" s="189"/>
      <c r="I249" s="189"/>
      <c r="J249" s="189"/>
      <c r="K249" s="190"/>
      <c r="L249" s="190"/>
      <c r="M249" s="190"/>
      <c r="N249" s="190"/>
      <c r="O249" s="190"/>
      <c r="P249" s="189"/>
    </row>
    <row r="250" spans="1:16">
      <c r="A250" s="189"/>
      <c r="B250" s="189"/>
      <c r="C250" s="189"/>
      <c r="D250" s="189"/>
      <c r="E250" s="189"/>
      <c r="F250" s="189"/>
      <c r="G250" s="189"/>
      <c r="H250" s="189"/>
      <c r="I250" s="189"/>
      <c r="J250" s="189"/>
      <c r="K250" s="190"/>
      <c r="L250" s="190"/>
      <c r="M250" s="190"/>
      <c r="N250" s="190"/>
      <c r="O250" s="190"/>
      <c r="P250" s="189"/>
    </row>
    <row r="251" spans="1:16">
      <c r="A251" s="189"/>
      <c r="B251" s="189"/>
      <c r="C251" s="189"/>
      <c r="D251" s="189"/>
      <c r="E251" s="189"/>
      <c r="F251" s="189"/>
      <c r="G251" s="189"/>
      <c r="H251" s="189"/>
      <c r="I251" s="189"/>
      <c r="J251" s="189"/>
      <c r="K251" s="190"/>
      <c r="L251" s="190"/>
      <c r="M251" s="190"/>
      <c r="N251" s="190"/>
      <c r="O251" s="190"/>
      <c r="P251" s="189"/>
    </row>
    <row r="252" spans="1:16">
      <c r="A252" s="189"/>
      <c r="B252" s="189"/>
      <c r="C252" s="189"/>
      <c r="D252" s="189"/>
      <c r="E252" s="189"/>
      <c r="F252" s="189"/>
      <c r="G252" s="189"/>
      <c r="H252" s="189"/>
      <c r="I252" s="189"/>
      <c r="J252" s="189"/>
      <c r="K252" s="190"/>
      <c r="L252" s="190"/>
      <c r="M252" s="190"/>
      <c r="N252" s="190"/>
      <c r="O252" s="190"/>
      <c r="P252" s="189"/>
    </row>
    <row r="253" spans="1:16">
      <c r="A253" s="189"/>
      <c r="B253" s="189"/>
      <c r="C253" s="189"/>
      <c r="D253" s="189"/>
      <c r="E253" s="189"/>
      <c r="F253" s="189"/>
      <c r="G253" s="189"/>
      <c r="H253" s="189"/>
      <c r="I253" s="189"/>
      <c r="J253" s="189"/>
      <c r="K253" s="190"/>
      <c r="L253" s="190"/>
      <c r="M253" s="190"/>
      <c r="N253" s="190"/>
      <c r="O253" s="190"/>
      <c r="P253" s="189"/>
    </row>
    <row r="254" spans="1:16">
      <c r="A254" s="189"/>
      <c r="B254" s="189"/>
      <c r="C254" s="189"/>
      <c r="D254" s="189"/>
      <c r="E254" s="189"/>
      <c r="F254" s="189"/>
      <c r="G254" s="189"/>
      <c r="H254" s="189"/>
      <c r="I254" s="189"/>
      <c r="J254" s="189"/>
      <c r="K254" s="190"/>
      <c r="L254" s="190"/>
      <c r="M254" s="190"/>
      <c r="N254" s="190"/>
      <c r="O254" s="190"/>
      <c r="P254" s="189"/>
    </row>
    <row r="255" spans="1:16">
      <c r="A255" s="189"/>
      <c r="B255" s="189"/>
      <c r="C255" s="189"/>
      <c r="D255" s="189"/>
      <c r="E255" s="189"/>
      <c r="F255" s="189"/>
      <c r="G255" s="189"/>
      <c r="H255" s="189"/>
      <c r="I255" s="189"/>
      <c r="J255" s="189"/>
      <c r="K255" s="190"/>
      <c r="L255" s="190"/>
      <c r="M255" s="190"/>
      <c r="N255" s="190"/>
      <c r="O255" s="190"/>
      <c r="P255" s="189"/>
    </row>
    <row r="256" spans="1:16">
      <c r="A256" s="189"/>
      <c r="B256" s="189"/>
      <c r="C256" s="189"/>
      <c r="D256" s="189"/>
      <c r="E256" s="189"/>
      <c r="F256" s="189"/>
      <c r="G256" s="189"/>
      <c r="H256" s="189"/>
      <c r="I256" s="189"/>
      <c r="J256" s="189"/>
      <c r="K256" s="190"/>
      <c r="L256" s="190"/>
      <c r="M256" s="190"/>
      <c r="N256" s="190"/>
      <c r="O256" s="190"/>
      <c r="P256" s="189"/>
    </row>
    <row r="257" spans="1:16">
      <c r="A257" s="189"/>
      <c r="B257" s="189"/>
      <c r="C257" s="189"/>
      <c r="D257" s="189"/>
      <c r="E257" s="189"/>
      <c r="F257" s="189"/>
      <c r="G257" s="189"/>
      <c r="H257" s="189"/>
      <c r="I257" s="189"/>
      <c r="J257" s="189"/>
      <c r="K257" s="190"/>
      <c r="L257" s="190"/>
      <c r="M257" s="190"/>
      <c r="N257" s="190"/>
      <c r="O257" s="190"/>
      <c r="P257" s="189"/>
    </row>
    <row r="258" spans="1:16">
      <c r="A258" s="189"/>
      <c r="B258" s="189"/>
      <c r="C258" s="189"/>
      <c r="D258" s="189"/>
      <c r="E258" s="189"/>
      <c r="F258" s="189"/>
      <c r="G258" s="189"/>
      <c r="H258" s="189"/>
      <c r="I258" s="189"/>
      <c r="J258" s="189"/>
      <c r="K258" s="190"/>
      <c r="L258" s="190"/>
      <c r="M258" s="190"/>
      <c r="N258" s="190"/>
      <c r="O258" s="190"/>
      <c r="P258" s="189"/>
    </row>
    <row r="259" spans="1:16">
      <c r="A259" s="189"/>
      <c r="B259" s="189"/>
      <c r="C259" s="189"/>
      <c r="D259" s="189"/>
      <c r="E259" s="189"/>
      <c r="F259" s="189"/>
      <c r="G259" s="189"/>
      <c r="H259" s="189"/>
      <c r="I259" s="189"/>
      <c r="J259" s="189"/>
      <c r="K259" s="190"/>
      <c r="L259" s="190"/>
      <c r="M259" s="190"/>
      <c r="N259" s="190"/>
      <c r="O259" s="190"/>
      <c r="P259" s="189"/>
    </row>
    <row r="260" spans="1:16">
      <c r="A260" s="189"/>
      <c r="B260" s="189"/>
      <c r="C260" s="189"/>
      <c r="D260" s="189"/>
      <c r="E260" s="189"/>
      <c r="F260" s="189"/>
      <c r="G260" s="189"/>
      <c r="H260" s="189"/>
      <c r="I260" s="189"/>
      <c r="J260" s="189"/>
      <c r="K260" s="190"/>
      <c r="L260" s="190"/>
      <c r="M260" s="190"/>
      <c r="N260" s="190"/>
      <c r="O260" s="190"/>
      <c r="P260" s="189"/>
    </row>
    <row r="261" spans="1:16">
      <c r="A261" s="189"/>
      <c r="B261" s="189"/>
      <c r="C261" s="189"/>
      <c r="D261" s="189"/>
      <c r="E261" s="189"/>
      <c r="F261" s="189"/>
      <c r="G261" s="189"/>
      <c r="H261" s="189"/>
      <c r="I261" s="189"/>
      <c r="J261" s="189"/>
      <c r="K261" s="190"/>
      <c r="L261" s="190"/>
      <c r="M261" s="190"/>
      <c r="N261" s="190"/>
      <c r="O261" s="190"/>
      <c r="P261" s="189"/>
    </row>
    <row r="262" spans="1:16">
      <c r="A262" s="189"/>
      <c r="B262" s="189"/>
      <c r="C262" s="189"/>
      <c r="D262" s="189"/>
      <c r="E262" s="189"/>
      <c r="F262" s="189"/>
      <c r="G262" s="189"/>
      <c r="H262" s="189"/>
      <c r="I262" s="189"/>
      <c r="J262" s="189"/>
      <c r="K262" s="190"/>
      <c r="L262" s="190"/>
      <c r="M262" s="190"/>
      <c r="N262" s="190"/>
      <c r="O262" s="190"/>
      <c r="P262" s="189"/>
    </row>
    <row r="263" spans="1:16">
      <c r="A263" s="189"/>
      <c r="B263" s="189"/>
      <c r="C263" s="189"/>
      <c r="D263" s="189"/>
      <c r="E263" s="189"/>
      <c r="F263" s="189"/>
      <c r="G263" s="189"/>
      <c r="H263" s="189"/>
      <c r="I263" s="189"/>
      <c r="J263" s="189"/>
      <c r="K263" s="190"/>
      <c r="L263" s="190"/>
      <c r="M263" s="190"/>
      <c r="N263" s="190"/>
      <c r="O263" s="190"/>
      <c r="P263" s="189"/>
    </row>
    <row r="264" spans="1:16">
      <c r="A264" s="189"/>
      <c r="B264" s="189"/>
      <c r="C264" s="189"/>
      <c r="D264" s="189"/>
      <c r="E264" s="189"/>
      <c r="F264" s="189"/>
      <c r="G264" s="189"/>
      <c r="H264" s="189"/>
      <c r="I264" s="189"/>
      <c r="J264" s="189"/>
      <c r="K264" s="190"/>
      <c r="L264" s="190"/>
      <c r="M264" s="190"/>
      <c r="N264" s="190"/>
      <c r="O264" s="190"/>
      <c r="P264" s="189"/>
    </row>
    <row r="265" spans="1:16">
      <c r="A265" s="189"/>
      <c r="B265" s="189"/>
      <c r="C265" s="189"/>
      <c r="D265" s="189"/>
      <c r="E265" s="189"/>
      <c r="F265" s="189"/>
      <c r="G265" s="189"/>
      <c r="H265" s="189"/>
      <c r="I265" s="189"/>
      <c r="J265" s="189"/>
      <c r="K265" s="190"/>
      <c r="L265" s="190"/>
      <c r="M265" s="190"/>
      <c r="N265" s="190"/>
      <c r="O265" s="190"/>
      <c r="P265" s="189"/>
    </row>
    <row r="266" spans="1:16">
      <c r="A266" s="189"/>
      <c r="B266" s="189"/>
      <c r="C266" s="189"/>
      <c r="D266" s="189"/>
      <c r="E266" s="189"/>
      <c r="F266" s="189"/>
      <c r="G266" s="189"/>
      <c r="H266" s="189"/>
      <c r="I266" s="189"/>
      <c r="J266" s="189"/>
      <c r="K266" s="190"/>
      <c r="L266" s="190"/>
      <c r="M266" s="190"/>
      <c r="N266" s="190"/>
      <c r="O266" s="190"/>
      <c r="P266" s="189"/>
    </row>
    <row r="267" spans="1:16">
      <c r="A267" s="189"/>
      <c r="B267" s="189"/>
      <c r="C267" s="189"/>
      <c r="D267" s="189"/>
      <c r="E267" s="189"/>
      <c r="F267" s="189"/>
      <c r="G267" s="189"/>
      <c r="H267" s="189"/>
      <c r="I267" s="189"/>
      <c r="J267" s="189"/>
      <c r="K267" s="190"/>
      <c r="L267" s="190"/>
      <c r="M267" s="190"/>
      <c r="N267" s="190"/>
      <c r="O267" s="190"/>
      <c r="P267" s="189"/>
    </row>
    <row r="268" spans="1:16">
      <c r="A268" s="189"/>
      <c r="B268" s="189"/>
      <c r="C268" s="189"/>
      <c r="D268" s="189"/>
      <c r="E268" s="189"/>
      <c r="F268" s="189"/>
      <c r="G268" s="189"/>
      <c r="H268" s="189"/>
      <c r="I268" s="189"/>
      <c r="J268" s="189"/>
      <c r="K268" s="190"/>
      <c r="L268" s="190"/>
      <c r="M268" s="190"/>
      <c r="N268" s="190"/>
      <c r="O268" s="190"/>
      <c r="P268" s="189"/>
    </row>
    <row r="269" spans="1:16">
      <c r="A269" s="189"/>
      <c r="B269" s="189"/>
      <c r="C269" s="189"/>
      <c r="D269" s="189"/>
      <c r="E269" s="189"/>
      <c r="F269" s="189"/>
      <c r="G269" s="189"/>
      <c r="H269" s="189"/>
      <c r="I269" s="189"/>
      <c r="J269" s="189"/>
      <c r="K269" s="190"/>
      <c r="L269" s="190"/>
      <c r="M269" s="190"/>
      <c r="N269" s="190"/>
      <c r="O269" s="190"/>
      <c r="P269" s="189"/>
    </row>
    <row r="270" spans="1:16">
      <c r="A270" s="189"/>
      <c r="B270" s="189"/>
      <c r="C270" s="189"/>
      <c r="D270" s="189"/>
      <c r="E270" s="189"/>
      <c r="F270" s="189"/>
      <c r="G270" s="189"/>
      <c r="H270" s="189"/>
      <c r="I270" s="189"/>
      <c r="J270" s="189"/>
      <c r="K270" s="190"/>
      <c r="L270" s="190"/>
      <c r="M270" s="190"/>
      <c r="N270" s="190"/>
      <c r="O270" s="190"/>
      <c r="P270" s="189"/>
    </row>
    <row r="271" spans="1:16">
      <c r="A271" s="189"/>
      <c r="B271" s="189"/>
      <c r="C271" s="189"/>
      <c r="D271" s="189"/>
      <c r="E271" s="189"/>
      <c r="F271" s="189"/>
      <c r="G271" s="189"/>
      <c r="H271" s="189"/>
      <c r="I271" s="189"/>
      <c r="J271" s="189"/>
      <c r="K271" s="190"/>
      <c r="L271" s="190"/>
      <c r="M271" s="190"/>
      <c r="N271" s="190"/>
      <c r="O271" s="190"/>
      <c r="P271" s="189"/>
    </row>
    <row r="272" spans="1:16">
      <c r="A272" s="189"/>
      <c r="B272" s="189"/>
      <c r="C272" s="189"/>
      <c r="D272" s="189"/>
      <c r="E272" s="189"/>
      <c r="F272" s="189"/>
      <c r="G272" s="189"/>
      <c r="H272" s="189"/>
      <c r="I272" s="189"/>
      <c r="J272" s="189"/>
      <c r="K272" s="190"/>
      <c r="L272" s="190"/>
      <c r="M272" s="190"/>
      <c r="N272" s="190"/>
      <c r="O272" s="190"/>
      <c r="P272" s="189"/>
    </row>
    <row r="273" spans="1:16">
      <c r="A273" s="189"/>
      <c r="B273" s="189"/>
      <c r="C273" s="189"/>
      <c r="D273" s="189"/>
      <c r="E273" s="189"/>
      <c r="F273" s="189"/>
      <c r="G273" s="189"/>
      <c r="H273" s="189"/>
      <c r="I273" s="189"/>
      <c r="J273" s="189"/>
      <c r="K273" s="190"/>
      <c r="L273" s="190"/>
      <c r="M273" s="190"/>
      <c r="N273" s="190"/>
      <c r="O273" s="190"/>
      <c r="P273" s="189"/>
    </row>
    <row r="274" spans="1:16">
      <c r="A274" s="189"/>
      <c r="B274" s="189"/>
      <c r="C274" s="189"/>
      <c r="D274" s="189"/>
      <c r="E274" s="189"/>
      <c r="F274" s="189"/>
      <c r="G274" s="189"/>
      <c r="H274" s="189"/>
      <c r="I274" s="189"/>
      <c r="J274" s="189"/>
      <c r="K274" s="190"/>
      <c r="L274" s="190"/>
      <c r="M274" s="190"/>
      <c r="N274" s="190"/>
      <c r="O274" s="190"/>
      <c r="P274" s="189"/>
    </row>
    <row r="275" spans="1:16">
      <c r="A275" s="189"/>
      <c r="B275" s="189"/>
      <c r="C275" s="189"/>
      <c r="D275" s="189"/>
      <c r="E275" s="189"/>
      <c r="F275" s="189"/>
      <c r="G275" s="189"/>
      <c r="H275" s="189"/>
      <c r="I275" s="189"/>
      <c r="J275" s="189"/>
      <c r="K275" s="190"/>
      <c r="L275" s="190"/>
      <c r="M275" s="190"/>
      <c r="N275" s="190"/>
      <c r="O275" s="190"/>
      <c r="P275" s="189"/>
    </row>
    <row r="276" spans="1:16">
      <c r="A276" s="189"/>
      <c r="B276" s="189"/>
      <c r="C276" s="189"/>
      <c r="D276" s="189"/>
      <c r="E276" s="189"/>
      <c r="F276" s="189"/>
      <c r="G276" s="189"/>
      <c r="H276" s="189"/>
      <c r="I276" s="189"/>
      <c r="J276" s="189"/>
      <c r="K276" s="190"/>
      <c r="L276" s="190"/>
      <c r="M276" s="190"/>
      <c r="N276" s="190"/>
      <c r="O276" s="190"/>
      <c r="P276" s="189"/>
    </row>
    <row r="277" spans="1:16">
      <c r="A277" s="189"/>
      <c r="B277" s="189"/>
      <c r="C277" s="189"/>
      <c r="D277" s="189"/>
      <c r="E277" s="189"/>
      <c r="F277" s="189"/>
      <c r="G277" s="189"/>
      <c r="H277" s="189"/>
      <c r="I277" s="189"/>
      <c r="J277" s="189"/>
      <c r="K277" s="190"/>
      <c r="L277" s="190"/>
      <c r="M277" s="190"/>
      <c r="N277" s="190"/>
      <c r="O277" s="190"/>
      <c r="P277" s="189"/>
    </row>
    <row r="278" spans="1:16">
      <c r="A278" s="189"/>
      <c r="B278" s="189"/>
      <c r="C278" s="189"/>
      <c r="D278" s="189"/>
      <c r="E278" s="189"/>
      <c r="F278" s="189"/>
      <c r="G278" s="189"/>
      <c r="H278" s="189"/>
      <c r="I278" s="189"/>
      <c r="J278" s="189"/>
      <c r="K278" s="190"/>
      <c r="L278" s="190"/>
      <c r="M278" s="190"/>
      <c r="N278" s="190"/>
      <c r="O278" s="190"/>
      <c r="P278" s="189"/>
    </row>
    <row r="279" spans="1:16">
      <c r="A279" s="189"/>
      <c r="B279" s="189"/>
      <c r="C279" s="189"/>
      <c r="D279" s="189"/>
      <c r="E279" s="189"/>
      <c r="F279" s="189"/>
      <c r="G279" s="189"/>
      <c r="H279" s="189"/>
      <c r="I279" s="189"/>
      <c r="J279" s="189"/>
      <c r="K279" s="190"/>
      <c r="L279" s="190"/>
      <c r="M279" s="190"/>
      <c r="N279" s="190"/>
      <c r="O279" s="190"/>
      <c r="P279" s="189"/>
    </row>
    <row r="280" spans="1:16">
      <c r="A280" s="189"/>
      <c r="B280" s="189"/>
      <c r="C280" s="189"/>
      <c r="D280" s="189"/>
      <c r="E280" s="189"/>
      <c r="F280" s="189"/>
      <c r="G280" s="189"/>
      <c r="H280" s="189"/>
      <c r="I280" s="189"/>
      <c r="J280" s="189"/>
      <c r="K280" s="190"/>
      <c r="L280" s="190"/>
      <c r="M280" s="190"/>
      <c r="N280" s="190"/>
      <c r="O280" s="190"/>
      <c r="P280" s="189"/>
    </row>
    <row r="281" spans="1:16">
      <c r="A281" s="189"/>
      <c r="B281" s="189"/>
      <c r="C281" s="189"/>
      <c r="D281" s="189"/>
      <c r="E281" s="189"/>
      <c r="F281" s="189"/>
      <c r="G281" s="189"/>
      <c r="H281" s="189"/>
      <c r="I281" s="189"/>
      <c r="J281" s="189"/>
      <c r="K281" s="190"/>
      <c r="L281" s="190"/>
      <c r="M281" s="190"/>
      <c r="N281" s="190"/>
      <c r="O281" s="190"/>
      <c r="P281" s="189"/>
    </row>
    <row r="282" spans="1:16">
      <c r="A282" s="189"/>
      <c r="B282" s="189"/>
      <c r="C282" s="189"/>
      <c r="D282" s="189"/>
      <c r="E282" s="189"/>
      <c r="F282" s="189"/>
      <c r="G282" s="189"/>
      <c r="H282" s="189"/>
      <c r="I282" s="189"/>
      <c r="J282" s="189"/>
      <c r="K282" s="190"/>
      <c r="L282" s="190"/>
      <c r="M282" s="190"/>
      <c r="N282" s="190"/>
      <c r="O282" s="190"/>
      <c r="P282" s="189"/>
    </row>
    <row r="283" spans="1:16">
      <c r="A283" s="189"/>
      <c r="B283" s="189"/>
      <c r="C283" s="189"/>
      <c r="D283" s="189"/>
      <c r="E283" s="189"/>
      <c r="F283" s="189"/>
      <c r="G283" s="189"/>
      <c r="H283" s="189"/>
      <c r="I283" s="189"/>
      <c r="J283" s="189"/>
      <c r="K283" s="190"/>
      <c r="L283" s="190"/>
      <c r="M283" s="190"/>
      <c r="N283" s="190"/>
      <c r="O283" s="190"/>
      <c r="P283" s="189"/>
    </row>
    <row r="284" spans="1:16">
      <c r="A284" s="189"/>
      <c r="B284" s="189"/>
      <c r="C284" s="189"/>
      <c r="D284" s="189"/>
      <c r="E284" s="189"/>
      <c r="F284" s="189"/>
      <c r="G284" s="189"/>
      <c r="H284" s="189"/>
      <c r="I284" s="189"/>
      <c r="J284" s="189"/>
      <c r="K284" s="190"/>
      <c r="L284" s="190"/>
      <c r="M284" s="190"/>
      <c r="N284" s="190"/>
      <c r="O284" s="190"/>
      <c r="P284" s="189"/>
    </row>
    <row r="285" spans="1:16">
      <c r="A285" s="189"/>
      <c r="B285" s="189"/>
      <c r="C285" s="189"/>
      <c r="D285" s="189"/>
      <c r="E285" s="189"/>
      <c r="F285" s="189"/>
      <c r="G285" s="189"/>
      <c r="H285" s="189"/>
      <c r="I285" s="189"/>
      <c r="J285" s="189"/>
      <c r="K285" s="190"/>
      <c r="L285" s="190"/>
      <c r="M285" s="190"/>
      <c r="N285" s="190"/>
      <c r="O285" s="190"/>
      <c r="P285" s="189"/>
    </row>
    <row r="286" spans="1:16">
      <c r="A286" s="189"/>
      <c r="B286" s="189"/>
      <c r="C286" s="189"/>
      <c r="D286" s="189"/>
      <c r="E286" s="189"/>
      <c r="F286" s="189"/>
      <c r="G286" s="189"/>
      <c r="H286" s="189"/>
      <c r="I286" s="189"/>
      <c r="J286" s="189"/>
      <c r="K286" s="190"/>
      <c r="L286" s="190"/>
      <c r="M286" s="190"/>
      <c r="N286" s="190"/>
      <c r="O286" s="190"/>
      <c r="P286" s="189"/>
    </row>
    <row r="287" spans="1:16">
      <c r="A287" s="189"/>
      <c r="B287" s="189"/>
      <c r="C287" s="189"/>
      <c r="D287" s="189"/>
      <c r="E287" s="189"/>
      <c r="F287" s="189"/>
      <c r="G287" s="189"/>
      <c r="H287" s="189"/>
      <c r="I287" s="189"/>
      <c r="J287" s="189"/>
      <c r="K287" s="190"/>
      <c r="L287" s="190"/>
      <c r="M287" s="190"/>
      <c r="N287" s="190"/>
      <c r="O287" s="190"/>
      <c r="P287" s="189"/>
    </row>
    <row r="288" spans="1:16">
      <c r="A288" s="189"/>
      <c r="B288" s="189"/>
      <c r="C288" s="189"/>
      <c r="D288" s="189"/>
      <c r="E288" s="189"/>
      <c r="F288" s="189"/>
      <c r="G288" s="189"/>
      <c r="H288" s="189"/>
      <c r="I288" s="189"/>
      <c r="J288" s="189"/>
      <c r="K288" s="190"/>
      <c r="L288" s="190"/>
      <c r="M288" s="190"/>
      <c r="N288" s="190"/>
      <c r="O288" s="190"/>
      <c r="P288" s="189"/>
    </row>
    <row r="289" spans="1:16">
      <c r="A289" s="189"/>
      <c r="B289" s="189"/>
      <c r="C289" s="189"/>
      <c r="D289" s="189"/>
      <c r="E289" s="189"/>
      <c r="F289" s="189"/>
      <c r="G289" s="189"/>
      <c r="H289" s="189"/>
      <c r="I289" s="189"/>
      <c r="J289" s="189"/>
      <c r="K289" s="190"/>
      <c r="L289" s="190"/>
      <c r="M289" s="190"/>
      <c r="N289" s="190"/>
      <c r="O289" s="190"/>
      <c r="P289" s="189"/>
    </row>
    <row r="290" spans="1:16">
      <c r="A290" s="189"/>
      <c r="B290" s="189"/>
      <c r="C290" s="189"/>
      <c r="D290" s="189"/>
      <c r="E290" s="189"/>
      <c r="F290" s="189"/>
      <c r="G290" s="189"/>
      <c r="H290" s="189"/>
      <c r="I290" s="189"/>
      <c r="J290" s="189"/>
      <c r="K290" s="190"/>
      <c r="L290" s="190"/>
      <c r="M290" s="190"/>
      <c r="N290" s="190"/>
      <c r="O290" s="190"/>
      <c r="P290" s="189"/>
    </row>
    <row r="291" spans="1:16">
      <c r="A291" s="189"/>
      <c r="B291" s="189"/>
      <c r="C291" s="189"/>
      <c r="D291" s="189"/>
      <c r="E291" s="189"/>
      <c r="F291" s="189"/>
      <c r="G291" s="189"/>
      <c r="H291" s="189"/>
      <c r="I291" s="189"/>
      <c r="J291" s="189"/>
      <c r="K291" s="190"/>
      <c r="L291" s="190"/>
      <c r="M291" s="190"/>
      <c r="N291" s="190"/>
      <c r="O291" s="190"/>
      <c r="P291" s="189"/>
    </row>
    <row r="292" spans="1:16">
      <c r="A292" s="189"/>
      <c r="B292" s="189"/>
      <c r="C292" s="189"/>
      <c r="D292" s="189"/>
      <c r="E292" s="189"/>
      <c r="F292" s="189"/>
      <c r="G292" s="189"/>
      <c r="H292" s="189"/>
      <c r="I292" s="189"/>
      <c r="J292" s="189"/>
      <c r="K292" s="190"/>
      <c r="L292" s="190"/>
      <c r="M292" s="190"/>
      <c r="N292" s="190"/>
      <c r="O292" s="190"/>
      <c r="P292" s="189"/>
    </row>
    <row r="293" spans="1:16">
      <c r="A293" s="189"/>
      <c r="B293" s="189"/>
      <c r="C293" s="189"/>
      <c r="D293" s="189"/>
      <c r="E293" s="189"/>
      <c r="F293" s="189"/>
      <c r="G293" s="189"/>
      <c r="H293" s="189"/>
      <c r="I293" s="189"/>
      <c r="J293" s="189"/>
      <c r="K293" s="190"/>
      <c r="L293" s="190"/>
      <c r="M293" s="190"/>
      <c r="N293" s="190"/>
      <c r="O293" s="190"/>
      <c r="P293" s="189"/>
    </row>
    <row r="294" spans="1:16">
      <c r="A294" s="189"/>
      <c r="B294" s="189"/>
      <c r="C294" s="189"/>
      <c r="D294" s="189"/>
      <c r="E294" s="189"/>
      <c r="F294" s="189"/>
      <c r="G294" s="189"/>
      <c r="H294" s="189"/>
      <c r="I294" s="189"/>
      <c r="J294" s="189"/>
      <c r="K294" s="190"/>
      <c r="L294" s="190"/>
      <c r="M294" s="190"/>
      <c r="N294" s="190"/>
      <c r="O294" s="190"/>
      <c r="P294" s="189"/>
    </row>
    <row r="295" spans="1:16">
      <c r="A295" s="189"/>
      <c r="B295" s="189"/>
      <c r="C295" s="189"/>
      <c r="D295" s="189"/>
      <c r="E295" s="189"/>
      <c r="F295" s="189"/>
      <c r="G295" s="189"/>
      <c r="H295" s="189"/>
      <c r="I295" s="189"/>
      <c r="J295" s="189"/>
      <c r="K295" s="190"/>
      <c r="L295" s="190"/>
      <c r="M295" s="190"/>
      <c r="N295" s="190"/>
      <c r="O295" s="190"/>
      <c r="P295" s="189"/>
    </row>
    <row r="296" spans="1:16">
      <c r="A296" s="189"/>
      <c r="B296" s="189"/>
      <c r="C296" s="189"/>
      <c r="D296" s="189"/>
      <c r="E296" s="189"/>
      <c r="F296" s="189"/>
      <c r="G296" s="189"/>
      <c r="H296" s="189"/>
      <c r="I296" s="189"/>
      <c r="J296" s="189"/>
      <c r="K296" s="190"/>
      <c r="L296" s="190"/>
      <c r="M296" s="190"/>
      <c r="N296" s="190"/>
      <c r="O296" s="190"/>
      <c r="P296" s="189"/>
    </row>
    <row r="297" spans="1:16">
      <c r="A297" s="189"/>
      <c r="B297" s="189"/>
      <c r="C297" s="189"/>
      <c r="D297" s="189"/>
      <c r="E297" s="189"/>
      <c r="F297" s="189"/>
      <c r="G297" s="189"/>
      <c r="H297" s="189"/>
      <c r="I297" s="189"/>
      <c r="J297" s="189"/>
      <c r="K297" s="190"/>
      <c r="L297" s="190"/>
      <c r="M297" s="190"/>
      <c r="N297" s="190"/>
      <c r="O297" s="190"/>
      <c r="P297" s="189"/>
    </row>
    <row r="298" spans="1:16">
      <c r="A298" s="189"/>
      <c r="B298" s="189"/>
      <c r="C298" s="189"/>
      <c r="D298" s="189"/>
      <c r="E298" s="189"/>
      <c r="F298" s="189"/>
      <c r="G298" s="189"/>
      <c r="H298" s="189"/>
      <c r="I298" s="189"/>
      <c r="J298" s="189"/>
      <c r="K298" s="190"/>
      <c r="L298" s="190"/>
      <c r="M298" s="190"/>
      <c r="N298" s="190"/>
      <c r="O298" s="190"/>
      <c r="P298" s="189"/>
    </row>
    <row r="299" spans="1:16">
      <c r="A299" s="189"/>
      <c r="B299" s="189"/>
      <c r="C299" s="189"/>
      <c r="D299" s="189"/>
      <c r="E299" s="189"/>
      <c r="F299" s="189"/>
      <c r="G299" s="189"/>
      <c r="H299" s="189"/>
      <c r="I299" s="189"/>
      <c r="J299" s="189"/>
      <c r="K299" s="190"/>
      <c r="L299" s="190"/>
      <c r="M299" s="190"/>
      <c r="N299" s="190"/>
      <c r="O299" s="190"/>
      <c r="P299" s="189"/>
    </row>
    <row r="300" spans="1:16">
      <c r="A300" s="189"/>
      <c r="B300" s="189"/>
      <c r="C300" s="189"/>
      <c r="D300" s="189"/>
      <c r="E300" s="189"/>
      <c r="F300" s="189"/>
      <c r="G300" s="189"/>
      <c r="H300" s="189"/>
      <c r="I300" s="189"/>
      <c r="J300" s="189"/>
      <c r="K300" s="190"/>
      <c r="L300" s="190"/>
      <c r="M300" s="190"/>
      <c r="N300" s="190"/>
      <c r="O300" s="190"/>
      <c r="P300" s="189"/>
    </row>
    <row r="301" spans="1:16">
      <c r="K301" s="190"/>
      <c r="L301" s="190"/>
      <c r="M301" s="190"/>
      <c r="N301" s="190"/>
      <c r="O301" s="190"/>
    </row>
    <row r="302" spans="1:16">
      <c r="K302" s="190"/>
      <c r="L302" s="190"/>
      <c r="M302" s="190"/>
      <c r="N302" s="190"/>
      <c r="O302" s="190"/>
    </row>
    <row r="303" spans="1:16">
      <c r="K303" s="190"/>
      <c r="L303" s="190"/>
      <c r="M303" s="190"/>
      <c r="N303" s="190"/>
      <c r="O303" s="190"/>
    </row>
    <row r="304" spans="1:16">
      <c r="K304" s="190"/>
      <c r="L304" s="190"/>
      <c r="M304" s="190"/>
      <c r="N304" s="190"/>
      <c r="O304" s="190"/>
    </row>
    <row r="305" spans="11:15">
      <c r="K305" s="190"/>
      <c r="L305" s="190"/>
      <c r="M305" s="190"/>
      <c r="N305" s="190"/>
      <c r="O305" s="190"/>
    </row>
    <row r="306" spans="11:15">
      <c r="K306" s="190"/>
      <c r="L306" s="190"/>
      <c r="M306" s="190"/>
      <c r="N306" s="190"/>
      <c r="O306" s="190"/>
    </row>
    <row r="307" spans="11:15">
      <c r="K307" s="190"/>
      <c r="L307" s="190"/>
      <c r="M307" s="190"/>
      <c r="N307" s="190"/>
      <c r="O307" s="190"/>
    </row>
    <row r="308" spans="11:15">
      <c r="K308" s="190"/>
      <c r="L308" s="190"/>
      <c r="M308" s="190"/>
      <c r="N308" s="190"/>
      <c r="O308" s="190"/>
    </row>
    <row r="309" spans="11:15">
      <c r="K309" s="190"/>
      <c r="L309" s="190"/>
      <c r="M309" s="190"/>
      <c r="N309" s="190"/>
      <c r="O309" s="190"/>
    </row>
    <row r="310" spans="11:15">
      <c r="K310" s="190"/>
      <c r="L310" s="190"/>
      <c r="M310" s="190"/>
      <c r="N310" s="190"/>
      <c r="O310" s="190"/>
    </row>
    <row r="311" spans="11:15">
      <c r="K311" s="190"/>
      <c r="L311" s="190"/>
      <c r="M311" s="190"/>
      <c r="N311" s="190"/>
      <c r="O311" s="190"/>
    </row>
    <row r="312" spans="11:15">
      <c r="K312" s="190"/>
      <c r="L312" s="190"/>
      <c r="M312" s="190"/>
      <c r="N312" s="190"/>
      <c r="O312" s="190"/>
    </row>
    <row r="313" spans="11:15">
      <c r="K313" s="190"/>
      <c r="L313" s="190"/>
      <c r="M313" s="190"/>
      <c r="N313" s="190"/>
      <c r="O313" s="190"/>
    </row>
    <row r="314" spans="11:15">
      <c r="K314" s="190"/>
      <c r="L314" s="190"/>
      <c r="M314" s="190"/>
      <c r="N314" s="190"/>
      <c r="O314" s="190"/>
    </row>
    <row r="315" spans="11:15">
      <c r="K315" s="190"/>
      <c r="L315" s="190"/>
      <c r="M315" s="190"/>
      <c r="N315" s="190"/>
      <c r="O315" s="190"/>
    </row>
    <row r="316" spans="11:15">
      <c r="K316" s="190"/>
      <c r="L316" s="190"/>
      <c r="M316" s="190"/>
      <c r="N316" s="190"/>
      <c r="O316" s="190"/>
    </row>
    <row r="317" spans="11:15">
      <c r="K317" s="190"/>
      <c r="L317" s="190"/>
      <c r="M317" s="190"/>
      <c r="N317" s="190"/>
      <c r="O317" s="190"/>
    </row>
    <row r="318" spans="11:15">
      <c r="K318" s="190"/>
      <c r="L318" s="190"/>
      <c r="M318" s="190"/>
      <c r="N318" s="190"/>
      <c r="O318" s="190"/>
    </row>
    <row r="319" spans="11:15">
      <c r="K319" s="190"/>
      <c r="L319" s="190"/>
      <c r="M319" s="190"/>
      <c r="N319" s="190"/>
      <c r="O319" s="190"/>
    </row>
    <row r="320" spans="11:15">
      <c r="K320" s="190"/>
      <c r="L320" s="190"/>
      <c r="M320" s="190"/>
      <c r="N320" s="190"/>
      <c r="O320" s="190"/>
    </row>
    <row r="321" spans="11:15">
      <c r="K321" s="190"/>
      <c r="L321" s="190"/>
      <c r="M321" s="190"/>
      <c r="N321" s="190"/>
      <c r="O321" s="190"/>
    </row>
    <row r="322" spans="11:15">
      <c r="K322" s="190"/>
      <c r="L322" s="190"/>
      <c r="M322" s="190"/>
      <c r="N322" s="190"/>
      <c r="O322" s="190"/>
    </row>
    <row r="323" spans="11:15">
      <c r="K323" s="190"/>
      <c r="L323" s="190"/>
      <c r="M323" s="190"/>
      <c r="N323" s="190"/>
      <c r="O323" s="190"/>
    </row>
    <row r="324" spans="11:15">
      <c r="K324" s="190"/>
      <c r="L324" s="190"/>
      <c r="M324" s="190"/>
      <c r="N324" s="190"/>
      <c r="O324" s="190"/>
    </row>
    <row r="325" spans="11:15">
      <c r="K325" s="190"/>
      <c r="L325" s="190"/>
      <c r="M325" s="190"/>
      <c r="N325" s="190"/>
      <c r="O325" s="190"/>
    </row>
    <row r="326" spans="11:15">
      <c r="K326" s="190"/>
      <c r="L326" s="190"/>
      <c r="M326" s="190"/>
      <c r="N326" s="190"/>
      <c r="O326" s="190"/>
    </row>
    <row r="327" spans="11:15">
      <c r="K327" s="190"/>
      <c r="L327" s="190"/>
      <c r="M327" s="190"/>
      <c r="N327" s="190"/>
      <c r="O327" s="190"/>
    </row>
    <row r="328" spans="11:15">
      <c r="K328" s="190"/>
      <c r="L328" s="190"/>
      <c r="M328" s="190"/>
      <c r="N328" s="190"/>
      <c r="O328" s="190"/>
    </row>
    <row r="329" spans="11:15">
      <c r="K329" s="190"/>
      <c r="L329" s="190"/>
      <c r="M329" s="190"/>
      <c r="N329" s="190"/>
      <c r="O329" s="190"/>
    </row>
    <row r="330" spans="11:15">
      <c r="K330" s="190"/>
      <c r="L330" s="190"/>
      <c r="M330" s="190"/>
      <c r="N330" s="190"/>
      <c r="O330" s="190"/>
    </row>
    <row r="331" spans="11:15">
      <c r="K331" s="190"/>
      <c r="L331" s="190"/>
      <c r="M331" s="190"/>
      <c r="N331" s="190"/>
      <c r="O331" s="190"/>
    </row>
    <row r="332" spans="11:15">
      <c r="K332" s="190"/>
      <c r="L332" s="190"/>
      <c r="M332" s="190"/>
      <c r="N332" s="190"/>
      <c r="O332" s="190"/>
    </row>
    <row r="333" spans="11:15">
      <c r="K333" s="190"/>
      <c r="L333" s="190"/>
      <c r="M333" s="190"/>
      <c r="N333" s="190"/>
      <c r="O333" s="190"/>
    </row>
    <row r="334" spans="11:15">
      <c r="K334" s="190"/>
      <c r="L334" s="190"/>
      <c r="M334" s="190"/>
      <c r="N334" s="190"/>
      <c r="O334" s="190"/>
    </row>
    <row r="335" spans="11:15">
      <c r="K335" s="190"/>
      <c r="L335" s="190"/>
      <c r="M335" s="190"/>
      <c r="N335" s="190"/>
      <c r="O335" s="190"/>
    </row>
    <row r="336" spans="11:15">
      <c r="K336" s="190"/>
      <c r="L336" s="190"/>
      <c r="M336" s="190"/>
      <c r="N336" s="190"/>
      <c r="O336" s="190"/>
    </row>
    <row r="337" spans="11:15">
      <c r="K337" s="190"/>
      <c r="L337" s="190"/>
      <c r="M337" s="190"/>
      <c r="N337" s="190"/>
      <c r="O337" s="190"/>
    </row>
    <row r="338" spans="11:15">
      <c r="K338" s="190"/>
      <c r="L338" s="190"/>
      <c r="M338" s="190"/>
      <c r="N338" s="190"/>
      <c r="O338" s="190"/>
    </row>
    <row r="339" spans="11:15">
      <c r="K339" s="190"/>
      <c r="L339" s="190"/>
      <c r="M339" s="190"/>
      <c r="N339" s="190"/>
      <c r="O339" s="190"/>
    </row>
    <row r="340" spans="11:15">
      <c r="K340" s="190"/>
      <c r="L340" s="190"/>
      <c r="M340" s="190"/>
      <c r="N340" s="190"/>
      <c r="O340" s="190"/>
    </row>
    <row r="341" spans="11:15">
      <c r="K341" s="190"/>
      <c r="L341" s="190"/>
      <c r="M341" s="190"/>
      <c r="N341" s="190"/>
      <c r="O341" s="190"/>
    </row>
    <row r="342" spans="11:15">
      <c r="K342" s="190"/>
      <c r="L342" s="190"/>
      <c r="M342" s="190"/>
      <c r="N342" s="190"/>
      <c r="O342" s="190"/>
    </row>
    <row r="343" spans="11:15">
      <c r="K343" s="190"/>
      <c r="L343" s="190"/>
      <c r="M343" s="190"/>
      <c r="N343" s="190"/>
      <c r="O343" s="190"/>
    </row>
    <row r="344" spans="11:15">
      <c r="K344" s="190"/>
      <c r="L344" s="190"/>
      <c r="M344" s="190"/>
      <c r="N344" s="190"/>
      <c r="O344" s="190"/>
    </row>
    <row r="345" spans="11:15">
      <c r="K345" s="190"/>
      <c r="L345" s="190"/>
      <c r="M345" s="190"/>
      <c r="N345" s="190"/>
      <c r="O345" s="190"/>
    </row>
    <row r="346" spans="11:15">
      <c r="K346" s="190"/>
      <c r="L346" s="190"/>
      <c r="M346" s="190"/>
      <c r="N346" s="190"/>
      <c r="O346" s="190"/>
    </row>
    <row r="347" spans="11:15">
      <c r="K347" s="190"/>
      <c r="L347" s="190"/>
      <c r="M347" s="190"/>
      <c r="N347" s="190"/>
      <c r="O347" s="190"/>
    </row>
    <row r="348" spans="11:15">
      <c r="K348" s="190"/>
      <c r="L348" s="190"/>
      <c r="M348" s="190"/>
      <c r="N348" s="190"/>
      <c r="O348" s="190"/>
    </row>
    <row r="349" spans="11:15">
      <c r="K349" s="190"/>
      <c r="L349" s="190"/>
      <c r="M349" s="190"/>
      <c r="N349" s="190"/>
      <c r="O349" s="190"/>
    </row>
    <row r="350" spans="11:15">
      <c r="K350" s="190"/>
      <c r="L350" s="190"/>
      <c r="M350" s="190"/>
      <c r="N350" s="190"/>
      <c r="O350" s="190"/>
    </row>
    <row r="351" spans="11:15">
      <c r="K351" s="190"/>
      <c r="L351" s="190"/>
      <c r="M351" s="190"/>
      <c r="N351" s="190"/>
      <c r="O351" s="190"/>
    </row>
    <row r="352" spans="11:15">
      <c r="K352" s="190"/>
      <c r="L352" s="190"/>
      <c r="M352" s="190"/>
      <c r="N352" s="190"/>
      <c r="O352" s="190"/>
    </row>
    <row r="353" spans="11:15">
      <c r="K353" s="190"/>
      <c r="L353" s="190"/>
      <c r="M353" s="190"/>
      <c r="N353" s="190"/>
      <c r="O353" s="190"/>
    </row>
    <row r="354" spans="11:15">
      <c r="K354" s="190"/>
      <c r="L354" s="190"/>
      <c r="M354" s="190"/>
      <c r="N354" s="190"/>
      <c r="O354" s="190"/>
    </row>
    <row r="355" spans="11:15">
      <c r="K355" s="190"/>
      <c r="L355" s="190"/>
      <c r="M355" s="190"/>
      <c r="N355" s="190"/>
      <c r="O355" s="190"/>
    </row>
    <row r="356" spans="11:15">
      <c r="K356" s="190"/>
      <c r="L356" s="190"/>
      <c r="M356" s="190"/>
      <c r="N356" s="190"/>
      <c r="O356" s="190"/>
    </row>
    <row r="357" spans="11:15">
      <c r="K357" s="190"/>
      <c r="L357" s="190"/>
      <c r="M357" s="190"/>
      <c r="N357" s="190"/>
      <c r="O357" s="190"/>
    </row>
    <row r="358" spans="11:15">
      <c r="K358" s="190"/>
      <c r="L358" s="190"/>
      <c r="M358" s="190"/>
      <c r="N358" s="190"/>
      <c r="O358" s="190"/>
    </row>
    <row r="359" spans="11:15">
      <c r="K359" s="190"/>
      <c r="L359" s="190"/>
      <c r="M359" s="190"/>
      <c r="N359" s="190"/>
      <c r="O359" s="190"/>
    </row>
    <row r="360" spans="11:15">
      <c r="K360" s="190"/>
      <c r="L360" s="190"/>
      <c r="M360" s="190"/>
      <c r="N360" s="190"/>
      <c r="O360" s="190"/>
    </row>
    <row r="361" spans="11:15">
      <c r="K361" s="190"/>
      <c r="L361" s="190"/>
      <c r="M361" s="190"/>
      <c r="N361" s="190"/>
      <c r="O361" s="190"/>
    </row>
    <row r="362" spans="11:15">
      <c r="K362" s="190"/>
      <c r="L362" s="190"/>
      <c r="M362" s="190"/>
      <c r="N362" s="190"/>
      <c r="O362" s="190"/>
    </row>
    <row r="363" spans="11:15">
      <c r="K363" s="190"/>
      <c r="L363" s="190"/>
      <c r="M363" s="190"/>
      <c r="N363" s="190"/>
      <c r="O363" s="190"/>
    </row>
    <row r="364" spans="11:15">
      <c r="K364" s="190"/>
      <c r="L364" s="190"/>
      <c r="M364" s="190"/>
      <c r="N364" s="190"/>
      <c r="O364" s="190"/>
    </row>
    <row r="365" spans="11:15">
      <c r="K365" s="190"/>
      <c r="L365" s="190"/>
      <c r="M365" s="190"/>
      <c r="N365" s="190"/>
      <c r="O365" s="190"/>
    </row>
    <row r="366" spans="11:15">
      <c r="K366" s="190"/>
      <c r="L366" s="190"/>
      <c r="M366" s="190"/>
      <c r="N366" s="190"/>
      <c r="O366" s="190"/>
    </row>
    <row r="367" spans="11:15">
      <c r="K367" s="190"/>
      <c r="L367" s="190"/>
      <c r="M367" s="190"/>
      <c r="N367" s="190"/>
      <c r="O367" s="190"/>
    </row>
    <row r="368" spans="11:15">
      <c r="K368" s="190"/>
      <c r="L368" s="190"/>
      <c r="M368" s="190"/>
      <c r="N368" s="190"/>
      <c r="O368" s="190"/>
    </row>
    <row r="369" spans="11:15">
      <c r="K369" s="190"/>
      <c r="L369" s="190"/>
      <c r="M369" s="190"/>
      <c r="N369" s="190"/>
      <c r="O369" s="190"/>
    </row>
    <row r="370" spans="11:15">
      <c r="K370" s="190"/>
      <c r="L370" s="190"/>
      <c r="M370" s="190"/>
      <c r="N370" s="190"/>
      <c r="O370" s="190"/>
    </row>
    <row r="371" spans="11:15">
      <c r="K371" s="190"/>
      <c r="L371" s="190"/>
      <c r="M371" s="190"/>
      <c r="N371" s="190"/>
      <c r="O371" s="190"/>
    </row>
    <row r="372" spans="11:15">
      <c r="K372" s="190"/>
      <c r="L372" s="190"/>
      <c r="M372" s="190"/>
      <c r="N372" s="190"/>
      <c r="O372" s="190"/>
    </row>
    <row r="373" spans="11:15">
      <c r="K373" s="190"/>
      <c r="L373" s="190"/>
      <c r="M373" s="190"/>
      <c r="N373" s="190"/>
      <c r="O373" s="190"/>
    </row>
    <row r="374" spans="11:15">
      <c r="K374" s="190"/>
      <c r="L374" s="190"/>
      <c r="M374" s="190"/>
      <c r="N374" s="190"/>
      <c r="O374" s="190"/>
    </row>
    <row r="375" spans="11:15">
      <c r="K375" s="190"/>
      <c r="L375" s="190"/>
      <c r="M375" s="190"/>
      <c r="N375" s="190"/>
      <c r="O375" s="190"/>
    </row>
    <row r="376" spans="11:15">
      <c r="K376" s="190"/>
      <c r="L376" s="190"/>
      <c r="M376" s="190"/>
      <c r="N376" s="190"/>
      <c r="O376" s="190"/>
    </row>
    <row r="377" spans="11:15">
      <c r="K377" s="190"/>
      <c r="L377" s="190"/>
      <c r="M377" s="190"/>
      <c r="N377" s="190"/>
      <c r="O377" s="190"/>
    </row>
    <row r="378" spans="11:15">
      <c r="K378" s="190"/>
      <c r="L378" s="190"/>
      <c r="M378" s="190"/>
      <c r="N378" s="190"/>
      <c r="O378" s="190"/>
    </row>
    <row r="379" spans="11:15">
      <c r="K379" s="190"/>
      <c r="L379" s="190"/>
      <c r="M379" s="190"/>
      <c r="N379" s="190"/>
      <c r="O379" s="190"/>
    </row>
    <row r="380" spans="11:15">
      <c r="K380" s="190"/>
      <c r="L380" s="190"/>
      <c r="M380" s="190"/>
      <c r="N380" s="190"/>
      <c r="O380" s="190"/>
    </row>
    <row r="381" spans="11:15">
      <c r="K381" s="190"/>
      <c r="L381" s="190"/>
      <c r="M381" s="190"/>
      <c r="N381" s="190"/>
      <c r="O381" s="190"/>
    </row>
    <row r="382" spans="11:15">
      <c r="K382" s="190"/>
      <c r="L382" s="190"/>
      <c r="M382" s="190"/>
      <c r="N382" s="190"/>
      <c r="O382" s="190"/>
    </row>
    <row r="383" spans="11:15">
      <c r="K383" s="190"/>
      <c r="L383" s="190"/>
      <c r="M383" s="190"/>
      <c r="N383" s="190"/>
      <c r="O383" s="190"/>
    </row>
    <row r="384" spans="11:15">
      <c r="K384" s="190"/>
      <c r="L384" s="190"/>
      <c r="M384" s="190"/>
      <c r="N384" s="190"/>
      <c r="O384" s="190"/>
    </row>
    <row r="385" spans="11:15">
      <c r="K385" s="190"/>
      <c r="L385" s="190"/>
      <c r="M385" s="190"/>
      <c r="N385" s="190"/>
      <c r="O385" s="190"/>
    </row>
    <row r="386" spans="11:15">
      <c r="K386" s="190"/>
      <c r="L386" s="190"/>
      <c r="M386" s="190"/>
      <c r="N386" s="190"/>
      <c r="O386" s="190"/>
    </row>
    <row r="387" spans="11:15">
      <c r="K387" s="190"/>
      <c r="L387" s="190"/>
      <c r="M387" s="190"/>
      <c r="N387" s="190"/>
      <c r="O387" s="190"/>
    </row>
    <row r="388" spans="11:15">
      <c r="K388" s="190"/>
      <c r="L388" s="190"/>
      <c r="M388" s="190"/>
      <c r="N388" s="190"/>
      <c r="O388" s="190"/>
    </row>
    <row r="389" spans="11:15">
      <c r="K389" s="190"/>
      <c r="L389" s="190"/>
      <c r="M389" s="190"/>
      <c r="N389" s="190"/>
      <c r="O389" s="190"/>
    </row>
    <row r="390" spans="11:15">
      <c r="K390" s="190"/>
      <c r="L390" s="190"/>
      <c r="M390" s="190"/>
      <c r="N390" s="190"/>
      <c r="O390" s="190"/>
    </row>
    <row r="391" spans="11:15">
      <c r="K391" s="190"/>
      <c r="L391" s="190"/>
      <c r="M391" s="190"/>
      <c r="N391" s="190"/>
      <c r="O391" s="190"/>
    </row>
    <row r="392" spans="11:15">
      <c r="K392" s="190"/>
      <c r="L392" s="190"/>
      <c r="M392" s="190"/>
      <c r="N392" s="190"/>
      <c r="O392" s="190"/>
    </row>
    <row r="393" spans="11:15">
      <c r="K393" s="190"/>
      <c r="L393" s="190"/>
      <c r="M393" s="190"/>
      <c r="N393" s="190"/>
      <c r="O393" s="190"/>
    </row>
    <row r="394" spans="11:15">
      <c r="K394" s="190"/>
      <c r="L394" s="190"/>
      <c r="M394" s="190"/>
      <c r="N394" s="190"/>
      <c r="O394" s="190"/>
    </row>
    <row r="395" spans="11:15">
      <c r="K395" s="190"/>
      <c r="L395" s="190"/>
      <c r="M395" s="190"/>
      <c r="N395" s="190"/>
      <c r="O395" s="190"/>
    </row>
    <row r="396" spans="11:15">
      <c r="K396" s="190"/>
      <c r="L396" s="190"/>
      <c r="M396" s="190"/>
      <c r="N396" s="190"/>
      <c r="O396" s="190"/>
    </row>
    <row r="397" spans="11:15">
      <c r="K397" s="190"/>
      <c r="L397" s="190"/>
      <c r="M397" s="190"/>
      <c r="N397" s="190"/>
      <c r="O397" s="190"/>
    </row>
    <row r="398" spans="11:15">
      <c r="K398" s="190"/>
      <c r="L398" s="190"/>
      <c r="M398" s="190"/>
      <c r="N398" s="190"/>
      <c r="O398" s="190"/>
    </row>
    <row r="399" spans="11:15">
      <c r="K399" s="190"/>
      <c r="L399" s="190"/>
      <c r="M399" s="190"/>
      <c r="N399" s="190"/>
      <c r="O399" s="190"/>
    </row>
    <row r="400" spans="11:15">
      <c r="K400" s="190"/>
      <c r="L400" s="190"/>
      <c r="M400" s="190"/>
      <c r="N400" s="190"/>
      <c r="O400" s="190"/>
    </row>
    <row r="401" spans="11:15">
      <c r="K401" s="190"/>
      <c r="L401" s="190"/>
      <c r="M401" s="190"/>
      <c r="N401" s="190"/>
      <c r="O401" s="190"/>
    </row>
    <row r="402" spans="11:15">
      <c r="K402" s="190"/>
      <c r="L402" s="190"/>
      <c r="M402" s="190"/>
      <c r="N402" s="190"/>
      <c r="O402" s="190"/>
    </row>
    <row r="403" spans="11:15">
      <c r="K403" s="190"/>
      <c r="L403" s="190"/>
      <c r="M403" s="190"/>
      <c r="N403" s="190"/>
      <c r="O403" s="190"/>
    </row>
    <row r="404" spans="11:15">
      <c r="K404" s="190"/>
      <c r="L404" s="190"/>
      <c r="M404" s="190"/>
      <c r="N404" s="190"/>
      <c r="O404" s="190"/>
    </row>
    <row r="405" spans="11:15">
      <c r="K405" s="190"/>
      <c r="L405" s="190"/>
      <c r="M405" s="190"/>
      <c r="N405" s="190"/>
      <c r="O405" s="190"/>
    </row>
    <row r="406" spans="11:15">
      <c r="K406" s="190"/>
      <c r="L406" s="190"/>
      <c r="M406" s="190"/>
      <c r="N406" s="190"/>
      <c r="O406" s="190"/>
    </row>
    <row r="407" spans="11:15">
      <c r="K407" s="190"/>
      <c r="L407" s="190"/>
      <c r="M407" s="190"/>
      <c r="N407" s="190"/>
      <c r="O407" s="190"/>
    </row>
    <row r="408" spans="11:15">
      <c r="K408" s="190"/>
      <c r="L408" s="190"/>
      <c r="M408" s="190"/>
      <c r="N408" s="190"/>
      <c r="O408" s="190"/>
    </row>
    <row r="409" spans="11:15">
      <c r="K409" s="190"/>
      <c r="L409" s="190"/>
      <c r="M409" s="190"/>
      <c r="N409" s="190"/>
      <c r="O409" s="190"/>
    </row>
    <row r="410" spans="11:15">
      <c r="K410" s="190"/>
      <c r="L410" s="190"/>
      <c r="M410" s="190"/>
      <c r="N410" s="190"/>
      <c r="O410" s="190"/>
    </row>
    <row r="411" spans="11:15">
      <c r="K411" s="190"/>
      <c r="L411" s="190"/>
      <c r="M411" s="190"/>
      <c r="N411" s="190"/>
      <c r="O411" s="190"/>
    </row>
    <row r="412" spans="11:15">
      <c r="K412" s="190"/>
      <c r="L412" s="190"/>
      <c r="M412" s="190"/>
      <c r="N412" s="190"/>
      <c r="O412" s="190"/>
    </row>
    <row r="413" spans="11:15">
      <c r="K413" s="190"/>
      <c r="L413" s="190"/>
      <c r="M413" s="190"/>
      <c r="N413" s="190"/>
      <c r="O413" s="190"/>
    </row>
    <row r="414" spans="11:15">
      <c r="K414" s="190"/>
      <c r="L414" s="190"/>
      <c r="M414" s="190"/>
      <c r="N414" s="190"/>
      <c r="O414" s="190"/>
    </row>
    <row r="415" spans="11:15">
      <c r="K415" s="190"/>
      <c r="L415" s="190"/>
      <c r="M415" s="190"/>
      <c r="N415" s="190"/>
      <c r="O415" s="190"/>
    </row>
    <row r="416" spans="11:15">
      <c r="K416" s="190"/>
      <c r="L416" s="190"/>
      <c r="M416" s="190"/>
      <c r="N416" s="190"/>
      <c r="O416" s="190"/>
    </row>
    <row r="417" spans="11:15">
      <c r="K417" s="190"/>
      <c r="L417" s="190"/>
      <c r="M417" s="190"/>
      <c r="N417" s="190"/>
      <c r="O417" s="190"/>
    </row>
    <row r="418" spans="11:15">
      <c r="K418" s="190"/>
      <c r="L418" s="190"/>
      <c r="M418" s="190"/>
      <c r="N418" s="190"/>
      <c r="O418" s="190"/>
    </row>
    <row r="419" spans="11:15">
      <c r="K419" s="190"/>
      <c r="L419" s="190"/>
      <c r="M419" s="190"/>
      <c r="N419" s="190"/>
      <c r="O419" s="190"/>
    </row>
    <row r="420" spans="11:15">
      <c r="K420" s="190"/>
      <c r="L420" s="190"/>
      <c r="M420" s="190"/>
      <c r="N420" s="190"/>
      <c r="O420" s="190"/>
    </row>
    <row r="421" spans="11:15">
      <c r="K421" s="190"/>
      <c r="L421" s="190"/>
      <c r="M421" s="190"/>
      <c r="N421" s="190"/>
      <c r="O421" s="190"/>
    </row>
    <row r="422" spans="11:15">
      <c r="K422" s="190"/>
      <c r="L422" s="190"/>
      <c r="M422" s="190"/>
      <c r="N422" s="190"/>
      <c r="O422" s="190"/>
    </row>
    <row r="423" spans="11:15">
      <c r="K423" s="190"/>
      <c r="L423" s="190"/>
      <c r="M423" s="190"/>
      <c r="N423" s="190"/>
      <c r="O423" s="190"/>
    </row>
    <row r="424" spans="11:15">
      <c r="K424" s="190"/>
      <c r="L424" s="190"/>
      <c r="M424" s="190"/>
      <c r="N424" s="190"/>
      <c r="O424" s="190"/>
    </row>
    <row r="425" spans="11:15">
      <c r="K425" s="190"/>
      <c r="L425" s="190"/>
      <c r="M425" s="190"/>
      <c r="N425" s="190"/>
      <c r="O425" s="190"/>
    </row>
    <row r="426" spans="11:15">
      <c r="K426" s="190"/>
      <c r="L426" s="190"/>
      <c r="M426" s="190"/>
      <c r="N426" s="190"/>
      <c r="O426" s="190"/>
    </row>
    <row r="427" spans="11:15">
      <c r="K427" s="190"/>
      <c r="L427" s="190"/>
      <c r="M427" s="190"/>
      <c r="N427" s="190"/>
      <c r="O427" s="190"/>
    </row>
    <row r="428" spans="11:15">
      <c r="K428" s="190"/>
      <c r="L428" s="190"/>
      <c r="M428" s="190"/>
      <c r="N428" s="190"/>
      <c r="O428" s="190"/>
    </row>
    <row r="429" spans="11:15">
      <c r="K429" s="190"/>
      <c r="L429" s="190"/>
      <c r="M429" s="190"/>
      <c r="N429" s="190"/>
      <c r="O429" s="190"/>
    </row>
    <row r="430" spans="11:15">
      <c r="K430" s="190"/>
      <c r="L430" s="190"/>
      <c r="M430" s="190"/>
      <c r="N430" s="190"/>
      <c r="O430" s="190"/>
    </row>
    <row r="431" spans="11:15">
      <c r="K431" s="190"/>
      <c r="L431" s="190"/>
      <c r="M431" s="190"/>
      <c r="N431" s="190"/>
      <c r="O431" s="190"/>
    </row>
    <row r="432" spans="11:15">
      <c r="K432" s="190"/>
      <c r="L432" s="190"/>
      <c r="M432" s="190"/>
      <c r="N432" s="190"/>
      <c r="O432" s="190"/>
    </row>
    <row r="433" spans="11:15">
      <c r="K433" s="190"/>
      <c r="L433" s="190"/>
      <c r="M433" s="190"/>
      <c r="N433" s="190"/>
      <c r="O433" s="190"/>
    </row>
    <row r="434" spans="11:15">
      <c r="K434" s="190"/>
      <c r="L434" s="190"/>
      <c r="M434" s="190"/>
      <c r="N434" s="190"/>
      <c r="O434" s="190"/>
    </row>
    <row r="435" spans="11:15">
      <c r="K435" s="190"/>
      <c r="L435" s="190"/>
      <c r="M435" s="190"/>
      <c r="N435" s="190"/>
      <c r="O435" s="190"/>
    </row>
    <row r="436" spans="11:15">
      <c r="K436" s="190"/>
      <c r="L436" s="190"/>
      <c r="M436" s="190"/>
      <c r="N436" s="190"/>
      <c r="O436" s="190"/>
    </row>
    <row r="437" spans="11:15">
      <c r="K437" s="190"/>
      <c r="L437" s="190"/>
      <c r="M437" s="190"/>
      <c r="N437" s="190"/>
      <c r="O437" s="190"/>
    </row>
    <row r="438" spans="11:15">
      <c r="K438" s="190"/>
      <c r="L438" s="190"/>
      <c r="M438" s="190"/>
      <c r="N438" s="190"/>
      <c r="O438" s="190"/>
    </row>
    <row r="439" spans="11:15">
      <c r="K439" s="190"/>
      <c r="L439" s="190"/>
      <c r="M439" s="190"/>
      <c r="N439" s="190"/>
      <c r="O439" s="190"/>
    </row>
    <row r="440" spans="11:15">
      <c r="K440" s="190"/>
      <c r="L440" s="190"/>
      <c r="M440" s="190"/>
      <c r="N440" s="190"/>
      <c r="O440" s="190"/>
    </row>
    <row r="441" spans="11:15">
      <c r="K441" s="190"/>
      <c r="L441" s="190"/>
      <c r="M441" s="190"/>
      <c r="N441" s="190"/>
      <c r="O441" s="190"/>
    </row>
    <row r="442" spans="11:15">
      <c r="K442" s="190"/>
      <c r="L442" s="190"/>
      <c r="M442" s="190"/>
      <c r="N442" s="190"/>
      <c r="O442" s="190"/>
    </row>
    <row r="443" spans="11:15">
      <c r="K443" s="190"/>
      <c r="L443" s="190"/>
      <c r="M443" s="190"/>
      <c r="N443" s="190"/>
      <c r="O443" s="190"/>
    </row>
    <row r="444" spans="11:15">
      <c r="K444" s="190"/>
      <c r="L444" s="190"/>
      <c r="M444" s="190"/>
      <c r="N444" s="190"/>
      <c r="O444" s="190"/>
    </row>
    <row r="445" spans="11:15">
      <c r="K445" s="190"/>
      <c r="L445" s="190"/>
      <c r="M445" s="190"/>
      <c r="N445" s="190"/>
      <c r="O445" s="190"/>
    </row>
    <row r="446" spans="11:15">
      <c r="K446" s="190"/>
      <c r="L446" s="190"/>
      <c r="M446" s="190"/>
      <c r="N446" s="190"/>
      <c r="O446" s="190"/>
    </row>
    <row r="447" spans="11:15">
      <c r="K447" s="190"/>
      <c r="L447" s="190"/>
      <c r="M447" s="190"/>
      <c r="N447" s="190"/>
      <c r="O447" s="190"/>
    </row>
    <row r="448" spans="11:15">
      <c r="K448" s="190"/>
      <c r="L448" s="190"/>
      <c r="M448" s="190"/>
      <c r="N448" s="190"/>
      <c r="O448" s="190"/>
    </row>
    <row r="449" spans="11:15">
      <c r="K449" s="190"/>
      <c r="L449" s="190"/>
      <c r="M449" s="190"/>
      <c r="N449" s="190"/>
      <c r="O449" s="190"/>
    </row>
    <row r="450" spans="11:15">
      <c r="K450" s="190"/>
      <c r="L450" s="190"/>
      <c r="M450" s="190"/>
      <c r="N450" s="190"/>
      <c r="O450" s="190"/>
    </row>
    <row r="451" spans="11:15">
      <c r="K451" s="190"/>
      <c r="L451" s="190"/>
      <c r="M451" s="190"/>
      <c r="N451" s="190"/>
      <c r="O451" s="190"/>
    </row>
    <row r="452" spans="11:15">
      <c r="K452" s="190"/>
      <c r="L452" s="190"/>
      <c r="M452" s="190"/>
      <c r="N452" s="190"/>
      <c r="O452" s="190"/>
    </row>
    <row r="453" spans="11:15">
      <c r="K453" s="190"/>
      <c r="L453" s="190"/>
      <c r="M453" s="190"/>
      <c r="N453" s="190"/>
      <c r="O453" s="190"/>
    </row>
    <row r="454" spans="11:15">
      <c r="K454" s="190"/>
      <c r="L454" s="190"/>
      <c r="M454" s="190"/>
      <c r="N454" s="190"/>
      <c r="O454" s="190"/>
    </row>
    <row r="455" spans="11:15">
      <c r="K455" s="190"/>
      <c r="L455" s="190"/>
      <c r="M455" s="190"/>
      <c r="N455" s="190"/>
      <c r="O455" s="190"/>
    </row>
    <row r="456" spans="11:15">
      <c r="K456" s="190"/>
      <c r="L456" s="190"/>
      <c r="M456" s="190"/>
      <c r="N456" s="190"/>
      <c r="O456" s="190"/>
    </row>
    <row r="457" spans="11:15">
      <c r="K457" s="190"/>
      <c r="L457" s="190"/>
      <c r="M457" s="190"/>
      <c r="N457" s="190"/>
      <c r="O457" s="190"/>
    </row>
    <row r="458" spans="11:15">
      <c r="K458" s="190"/>
      <c r="L458" s="190"/>
      <c r="M458" s="190"/>
      <c r="N458" s="190"/>
      <c r="O458" s="190"/>
    </row>
    <row r="459" spans="11:15">
      <c r="K459" s="190"/>
      <c r="L459" s="190"/>
      <c r="M459" s="190"/>
      <c r="N459" s="190"/>
      <c r="O459" s="190"/>
    </row>
    <row r="460" spans="11:15">
      <c r="K460" s="190"/>
      <c r="L460" s="190"/>
      <c r="M460" s="190"/>
      <c r="N460" s="190"/>
      <c r="O460" s="190"/>
    </row>
    <row r="461" spans="11:15">
      <c r="K461" s="190"/>
      <c r="L461" s="190"/>
      <c r="M461" s="190"/>
      <c r="N461" s="190"/>
      <c r="O461" s="190"/>
    </row>
    <row r="462" spans="11:15">
      <c r="K462" s="190"/>
      <c r="L462" s="190"/>
      <c r="M462" s="190"/>
      <c r="N462" s="190"/>
      <c r="O462" s="190"/>
    </row>
    <row r="463" spans="11:15">
      <c r="K463" s="190"/>
      <c r="L463" s="190"/>
      <c r="M463" s="190"/>
      <c r="N463" s="190"/>
      <c r="O463" s="190"/>
    </row>
    <row r="464" spans="11:15">
      <c r="K464" s="190"/>
      <c r="L464" s="190"/>
      <c r="M464" s="190"/>
      <c r="N464" s="190"/>
      <c r="O464" s="190"/>
    </row>
    <row r="465" spans="11:15">
      <c r="K465" s="190"/>
      <c r="L465" s="190"/>
      <c r="M465" s="190"/>
      <c r="N465" s="190"/>
      <c r="O465" s="190"/>
    </row>
    <row r="466" spans="11:15">
      <c r="K466" s="190"/>
      <c r="L466" s="190"/>
      <c r="M466" s="190"/>
      <c r="N466" s="190"/>
      <c r="O466" s="190"/>
    </row>
    <row r="467" spans="11:15">
      <c r="K467" s="190"/>
      <c r="L467" s="190"/>
      <c r="M467" s="190"/>
      <c r="N467" s="190"/>
      <c r="O467" s="190"/>
    </row>
    <row r="468" spans="11:15">
      <c r="K468" s="190"/>
      <c r="L468" s="190"/>
      <c r="M468" s="190"/>
      <c r="N468" s="190"/>
      <c r="O468" s="190"/>
    </row>
    <row r="469" spans="11:15">
      <c r="K469" s="190"/>
      <c r="L469" s="190"/>
      <c r="M469" s="190"/>
      <c r="N469" s="190"/>
      <c r="O469" s="190"/>
    </row>
    <row r="470" spans="11:15">
      <c r="K470" s="190"/>
      <c r="L470" s="190"/>
      <c r="M470" s="190"/>
      <c r="N470" s="190"/>
      <c r="O470" s="190"/>
    </row>
    <row r="471" spans="11:15">
      <c r="K471" s="190"/>
      <c r="L471" s="190"/>
      <c r="M471" s="190"/>
      <c r="N471" s="190"/>
      <c r="O471" s="190"/>
    </row>
    <row r="472" spans="11:15">
      <c r="K472" s="190"/>
      <c r="L472" s="190"/>
      <c r="M472" s="190"/>
      <c r="N472" s="190"/>
      <c r="O472" s="190"/>
    </row>
    <row r="473" spans="11:15">
      <c r="K473" s="190"/>
      <c r="L473" s="190"/>
      <c r="M473" s="190"/>
      <c r="N473" s="190"/>
      <c r="O473" s="190"/>
    </row>
    <row r="474" spans="11:15">
      <c r="K474" s="190"/>
      <c r="L474" s="190"/>
      <c r="M474" s="190"/>
      <c r="N474" s="190"/>
      <c r="O474" s="190"/>
    </row>
    <row r="475" spans="11:15">
      <c r="K475" s="190"/>
      <c r="L475" s="190"/>
      <c r="M475" s="190"/>
      <c r="N475" s="190"/>
      <c r="O475" s="190"/>
    </row>
    <row r="476" spans="11:15">
      <c r="K476" s="190"/>
      <c r="L476" s="190"/>
      <c r="M476" s="190"/>
      <c r="N476" s="190"/>
      <c r="O476" s="190"/>
    </row>
    <row r="477" spans="11:15">
      <c r="K477" s="190"/>
      <c r="L477" s="190"/>
      <c r="M477" s="190"/>
      <c r="N477" s="190"/>
      <c r="O477" s="190"/>
    </row>
    <row r="478" spans="11:15">
      <c r="K478" s="190"/>
      <c r="L478" s="190"/>
      <c r="M478" s="190"/>
      <c r="N478" s="190"/>
      <c r="O478" s="190"/>
    </row>
    <row r="479" spans="11:15">
      <c r="K479" s="190"/>
      <c r="L479" s="190"/>
      <c r="M479" s="190"/>
      <c r="N479" s="190"/>
      <c r="O479" s="190"/>
    </row>
    <row r="480" spans="11:15">
      <c r="K480" s="190"/>
      <c r="L480" s="190"/>
      <c r="M480" s="190"/>
      <c r="N480" s="190"/>
      <c r="O480" s="190"/>
    </row>
    <row r="481" spans="11:15">
      <c r="K481" s="190"/>
      <c r="L481" s="190"/>
      <c r="M481" s="190"/>
      <c r="N481" s="190"/>
      <c r="O481" s="190"/>
    </row>
    <row r="482" spans="11:15">
      <c r="K482" s="190"/>
      <c r="L482" s="190"/>
      <c r="M482" s="190"/>
      <c r="N482" s="190"/>
      <c r="O482" s="190"/>
    </row>
    <row r="483" spans="11:15">
      <c r="K483" s="190"/>
      <c r="L483" s="190"/>
      <c r="M483" s="190"/>
      <c r="N483" s="190"/>
      <c r="O483" s="190"/>
    </row>
    <row r="484" spans="11:15">
      <c r="K484" s="190"/>
      <c r="L484" s="190"/>
      <c r="M484" s="190"/>
      <c r="N484" s="190"/>
      <c r="O484" s="190"/>
    </row>
    <row r="485" spans="11:15">
      <c r="K485" s="190"/>
      <c r="L485" s="190"/>
      <c r="M485" s="190"/>
      <c r="N485" s="190"/>
      <c r="O485" s="190"/>
    </row>
    <row r="486" spans="11:15">
      <c r="K486" s="190"/>
      <c r="L486" s="190"/>
      <c r="M486" s="190"/>
      <c r="N486" s="190"/>
      <c r="O486" s="190"/>
    </row>
    <row r="487" spans="11:15">
      <c r="K487" s="190"/>
      <c r="L487" s="190"/>
      <c r="M487" s="190"/>
      <c r="N487" s="190"/>
      <c r="O487" s="190"/>
    </row>
    <row r="488" spans="11:15">
      <c r="K488" s="190"/>
      <c r="L488" s="190"/>
      <c r="M488" s="190"/>
      <c r="N488" s="190"/>
      <c r="O488" s="190"/>
    </row>
    <row r="489" spans="11:15">
      <c r="K489" s="190"/>
      <c r="L489" s="190"/>
      <c r="M489" s="190"/>
      <c r="N489" s="190"/>
      <c r="O489" s="190"/>
    </row>
    <row r="490" spans="11:15">
      <c r="K490" s="190"/>
      <c r="L490" s="190"/>
      <c r="M490" s="190"/>
      <c r="N490" s="190"/>
      <c r="O490" s="190"/>
    </row>
    <row r="491" spans="11:15">
      <c r="K491" s="190"/>
      <c r="L491" s="190"/>
      <c r="M491" s="190"/>
      <c r="N491" s="190"/>
      <c r="O491" s="190"/>
    </row>
    <row r="492" spans="11:15">
      <c r="K492" s="190"/>
      <c r="L492" s="190"/>
      <c r="M492" s="190"/>
      <c r="N492" s="190"/>
      <c r="O492" s="190"/>
    </row>
    <row r="493" spans="11:15">
      <c r="K493" s="190"/>
      <c r="L493" s="190"/>
      <c r="M493" s="190"/>
      <c r="N493" s="190"/>
      <c r="O493" s="190"/>
    </row>
    <row r="494" spans="11:15">
      <c r="K494" s="190"/>
      <c r="L494" s="190"/>
      <c r="M494" s="190"/>
      <c r="N494" s="190"/>
      <c r="O494" s="190"/>
    </row>
    <row r="495" spans="11:15">
      <c r="K495" s="190"/>
      <c r="L495" s="190"/>
      <c r="M495" s="190"/>
      <c r="N495" s="190"/>
      <c r="O495" s="190"/>
    </row>
    <row r="496" spans="11:15">
      <c r="K496" s="190"/>
      <c r="L496" s="190"/>
      <c r="M496" s="190"/>
      <c r="N496" s="190"/>
      <c r="O496" s="190"/>
    </row>
    <row r="497" spans="11:15">
      <c r="K497" s="190"/>
      <c r="L497" s="190"/>
      <c r="M497" s="190"/>
      <c r="N497" s="190"/>
      <c r="O497" s="190"/>
    </row>
    <row r="498" spans="11:15">
      <c r="K498" s="190"/>
      <c r="L498" s="190"/>
      <c r="M498" s="190"/>
      <c r="N498" s="190"/>
      <c r="O498" s="190"/>
    </row>
    <row r="499" spans="11:15">
      <c r="K499" s="190"/>
      <c r="L499" s="190"/>
      <c r="M499" s="190"/>
      <c r="N499" s="190"/>
      <c r="O499" s="190"/>
    </row>
    <row r="500" spans="11:15">
      <c r="K500" s="190"/>
      <c r="L500" s="190"/>
      <c r="M500" s="190"/>
      <c r="N500" s="190"/>
      <c r="O500" s="190"/>
    </row>
    <row r="501" spans="11:15">
      <c r="K501" s="190"/>
      <c r="L501" s="190"/>
      <c r="M501" s="190"/>
      <c r="N501" s="190"/>
      <c r="O501" s="190"/>
    </row>
    <row r="502" spans="11:15">
      <c r="K502" s="190"/>
      <c r="L502" s="190"/>
      <c r="M502" s="190"/>
      <c r="N502" s="190"/>
      <c r="O502" s="190"/>
    </row>
    <row r="503" spans="11:15">
      <c r="K503" s="190"/>
      <c r="L503" s="190"/>
      <c r="M503" s="190"/>
      <c r="N503" s="190"/>
      <c r="O503" s="190"/>
    </row>
    <row r="504" spans="11:15">
      <c r="K504" s="190"/>
      <c r="L504" s="190"/>
      <c r="M504" s="190"/>
      <c r="N504" s="190"/>
      <c r="O504" s="190"/>
    </row>
    <row r="505" spans="11:15">
      <c r="K505" s="190"/>
      <c r="L505" s="190"/>
      <c r="M505" s="190"/>
      <c r="N505" s="190"/>
      <c r="O505" s="190"/>
    </row>
    <row r="506" spans="11:15">
      <c r="K506" s="190"/>
      <c r="L506" s="190"/>
      <c r="M506" s="190"/>
      <c r="N506" s="190"/>
      <c r="O506" s="190"/>
    </row>
    <row r="507" spans="11:15">
      <c r="K507" s="190"/>
      <c r="L507" s="190"/>
      <c r="M507" s="190"/>
      <c r="N507" s="190"/>
      <c r="O507" s="190"/>
    </row>
    <row r="508" spans="11:15">
      <c r="K508" s="190"/>
      <c r="L508" s="190"/>
      <c r="M508" s="190"/>
      <c r="N508" s="190"/>
      <c r="O508" s="190"/>
    </row>
    <row r="509" spans="11:15">
      <c r="K509" s="190"/>
      <c r="L509" s="190"/>
      <c r="M509" s="190"/>
      <c r="N509" s="190"/>
      <c r="O509" s="190"/>
    </row>
    <row r="510" spans="11:15">
      <c r="K510" s="190"/>
      <c r="L510" s="190"/>
      <c r="M510" s="190"/>
      <c r="N510" s="190"/>
      <c r="O510" s="190"/>
    </row>
    <row r="511" spans="11:15">
      <c r="K511" s="190"/>
      <c r="L511" s="190"/>
      <c r="M511" s="190"/>
      <c r="N511" s="190"/>
      <c r="O511" s="190"/>
    </row>
    <row r="512" spans="11:15">
      <c r="K512" s="190"/>
      <c r="L512" s="190"/>
      <c r="M512" s="190"/>
      <c r="N512" s="190"/>
      <c r="O512" s="190"/>
    </row>
    <row r="513" spans="11:15">
      <c r="K513" s="190"/>
      <c r="L513" s="190"/>
      <c r="M513" s="190"/>
      <c r="N513" s="190"/>
      <c r="O513" s="190"/>
    </row>
    <row r="514" spans="11:15">
      <c r="K514" s="190"/>
      <c r="L514" s="190"/>
      <c r="M514" s="190"/>
      <c r="N514" s="190"/>
      <c r="O514" s="190"/>
    </row>
    <row r="515" spans="11:15">
      <c r="K515" s="190"/>
      <c r="L515" s="190"/>
      <c r="M515" s="190"/>
      <c r="N515" s="190"/>
      <c r="O515" s="190"/>
    </row>
    <row r="516" spans="11:15">
      <c r="K516" s="190"/>
      <c r="L516" s="190"/>
      <c r="M516" s="190"/>
      <c r="N516" s="190"/>
      <c r="O516" s="190"/>
    </row>
    <row r="517" spans="11:15">
      <c r="K517" s="190"/>
      <c r="L517" s="190"/>
      <c r="M517" s="190"/>
      <c r="N517" s="190"/>
      <c r="O517" s="190"/>
    </row>
    <row r="518" spans="11:15">
      <c r="K518" s="190"/>
      <c r="L518" s="190"/>
      <c r="M518" s="190"/>
      <c r="N518" s="190"/>
      <c r="O518" s="190"/>
    </row>
    <row r="519" spans="11:15">
      <c r="K519" s="190"/>
      <c r="L519" s="190"/>
      <c r="M519" s="190"/>
      <c r="N519" s="190"/>
      <c r="O519" s="190"/>
    </row>
    <row r="520" spans="11:15">
      <c r="K520" s="190"/>
      <c r="L520" s="190"/>
      <c r="M520" s="190"/>
      <c r="N520" s="190"/>
      <c r="O520" s="190"/>
    </row>
    <row r="521" spans="11:15">
      <c r="K521" s="190"/>
      <c r="L521" s="190"/>
      <c r="M521" s="190"/>
      <c r="N521" s="190"/>
      <c r="O521" s="190"/>
    </row>
    <row r="522" spans="11:15">
      <c r="K522" s="190"/>
      <c r="L522" s="190"/>
      <c r="M522" s="190"/>
      <c r="N522" s="190"/>
      <c r="O522" s="190"/>
    </row>
    <row r="523" spans="11:15">
      <c r="K523" s="190"/>
      <c r="L523" s="190"/>
      <c r="M523" s="190"/>
      <c r="N523" s="190"/>
      <c r="O523" s="190"/>
    </row>
    <row r="524" spans="11:15">
      <c r="K524" s="190"/>
      <c r="L524" s="190"/>
      <c r="M524" s="190"/>
      <c r="N524" s="190"/>
      <c r="O524" s="190"/>
    </row>
    <row r="525" spans="11:15">
      <c r="K525" s="190"/>
      <c r="L525" s="190"/>
      <c r="M525" s="190"/>
      <c r="N525" s="190"/>
      <c r="O525" s="190"/>
    </row>
    <row r="526" spans="11:15">
      <c r="K526" s="190"/>
      <c r="L526" s="190"/>
      <c r="M526" s="190"/>
      <c r="N526" s="190"/>
      <c r="O526" s="190"/>
    </row>
    <row r="527" spans="11:15">
      <c r="K527" s="190"/>
      <c r="L527" s="190"/>
      <c r="M527" s="190"/>
      <c r="N527" s="190"/>
      <c r="O527" s="190"/>
    </row>
    <row r="528" spans="11:15">
      <c r="K528" s="190"/>
      <c r="L528" s="190"/>
      <c r="M528" s="190"/>
      <c r="N528" s="190"/>
      <c r="O528" s="190"/>
    </row>
    <row r="529" spans="11:15">
      <c r="K529" s="190"/>
      <c r="L529" s="190"/>
      <c r="M529" s="190"/>
      <c r="N529" s="190"/>
      <c r="O529" s="190"/>
    </row>
    <row r="530" spans="11:15">
      <c r="K530" s="190"/>
      <c r="L530" s="190"/>
      <c r="M530" s="190"/>
      <c r="N530" s="190"/>
      <c r="O530" s="190"/>
    </row>
    <row r="531" spans="11:15">
      <c r="K531" s="190"/>
      <c r="L531" s="190"/>
      <c r="M531" s="190"/>
      <c r="N531" s="190"/>
      <c r="O531" s="190"/>
    </row>
    <row r="532" spans="11:15">
      <c r="K532" s="190"/>
      <c r="L532" s="190"/>
      <c r="M532" s="190"/>
      <c r="N532" s="190"/>
      <c r="O532" s="190"/>
    </row>
    <row r="533" spans="11:15">
      <c r="K533" s="190"/>
      <c r="L533" s="190"/>
      <c r="M533" s="190"/>
      <c r="N533" s="190"/>
      <c r="O533" s="190"/>
    </row>
    <row r="534" spans="11:15">
      <c r="K534" s="190"/>
      <c r="L534" s="190"/>
      <c r="M534" s="190"/>
      <c r="N534" s="190"/>
      <c r="O534" s="190"/>
    </row>
    <row r="535" spans="11:15">
      <c r="K535" s="190"/>
      <c r="L535" s="190"/>
      <c r="M535" s="190"/>
      <c r="N535" s="190"/>
      <c r="O535" s="190"/>
    </row>
    <row r="536" spans="11:15">
      <c r="K536" s="190"/>
      <c r="L536" s="190"/>
      <c r="M536" s="190"/>
      <c r="N536" s="190"/>
      <c r="O536" s="190"/>
    </row>
    <row r="537" spans="11:15">
      <c r="K537" s="190"/>
      <c r="L537" s="190"/>
      <c r="M537" s="190"/>
      <c r="N537" s="190"/>
      <c r="O537" s="190"/>
    </row>
    <row r="538" spans="11:15">
      <c r="K538" s="190"/>
      <c r="L538" s="190"/>
      <c r="M538" s="190"/>
      <c r="N538" s="190"/>
      <c r="O538" s="190"/>
    </row>
    <row r="539" spans="11:15">
      <c r="K539" s="190"/>
      <c r="L539" s="190"/>
      <c r="M539" s="190"/>
      <c r="N539" s="190"/>
      <c r="O539" s="190"/>
    </row>
    <row r="540" spans="11:15">
      <c r="K540" s="190"/>
      <c r="L540" s="190"/>
      <c r="M540" s="190"/>
      <c r="N540" s="190"/>
      <c r="O540" s="190"/>
    </row>
    <row r="541" spans="11:15">
      <c r="K541" s="190"/>
      <c r="L541" s="190"/>
      <c r="M541" s="190"/>
      <c r="N541" s="190"/>
      <c r="O541" s="190"/>
    </row>
    <row r="542" spans="11:15">
      <c r="K542" s="190"/>
      <c r="L542" s="190"/>
      <c r="M542" s="190"/>
      <c r="N542" s="190"/>
      <c r="O542" s="190"/>
    </row>
    <row r="543" spans="11:15">
      <c r="K543" s="190"/>
      <c r="L543" s="190"/>
      <c r="M543" s="190"/>
      <c r="N543" s="190"/>
      <c r="O543" s="190"/>
    </row>
    <row r="544" spans="11:15">
      <c r="K544" s="190"/>
      <c r="L544" s="190"/>
      <c r="M544" s="190"/>
      <c r="N544" s="190"/>
      <c r="O544" s="190"/>
    </row>
    <row r="545" spans="11:15">
      <c r="K545" s="190"/>
      <c r="L545" s="190"/>
      <c r="M545" s="190"/>
      <c r="N545" s="190"/>
      <c r="O545" s="190"/>
    </row>
    <row r="546" spans="11:15">
      <c r="K546" s="190"/>
      <c r="L546" s="190"/>
      <c r="M546" s="190"/>
      <c r="N546" s="190"/>
      <c r="O546" s="190"/>
    </row>
    <row r="547" spans="11:15">
      <c r="K547" s="190"/>
      <c r="L547" s="190"/>
      <c r="M547" s="190"/>
      <c r="N547" s="190"/>
      <c r="O547" s="190"/>
    </row>
    <row r="548" spans="11:15">
      <c r="K548" s="190"/>
      <c r="L548" s="190"/>
      <c r="M548" s="190"/>
      <c r="N548" s="190"/>
      <c r="O548" s="190"/>
    </row>
    <row r="549" spans="11:15">
      <c r="K549" s="190"/>
      <c r="L549" s="190"/>
      <c r="M549" s="190"/>
      <c r="N549" s="190"/>
      <c r="O549" s="190"/>
    </row>
    <row r="550" spans="11:15">
      <c r="K550" s="190"/>
      <c r="L550" s="190"/>
      <c r="M550" s="190"/>
      <c r="N550" s="190"/>
      <c r="O550" s="190"/>
    </row>
    <row r="551" spans="11:15">
      <c r="K551" s="190"/>
      <c r="L551" s="190"/>
      <c r="M551" s="190"/>
      <c r="N551" s="190"/>
      <c r="O551" s="190"/>
    </row>
    <row r="552" spans="11:15">
      <c r="K552" s="190"/>
      <c r="L552" s="190"/>
      <c r="M552" s="190"/>
      <c r="N552" s="190"/>
      <c r="O552" s="190"/>
    </row>
    <row r="553" spans="11:15">
      <c r="K553" s="190"/>
      <c r="L553" s="190"/>
      <c r="M553" s="190"/>
      <c r="N553" s="190"/>
      <c r="O553" s="190"/>
    </row>
    <row r="554" spans="11:15">
      <c r="K554" s="190"/>
      <c r="L554" s="190"/>
      <c r="M554" s="190"/>
      <c r="N554" s="190"/>
      <c r="O554" s="190"/>
    </row>
    <row r="555" spans="11:15">
      <c r="K555" s="190"/>
      <c r="L555" s="190"/>
      <c r="M555" s="190"/>
      <c r="N555" s="190"/>
      <c r="O555" s="190"/>
    </row>
    <row r="556" spans="11:15">
      <c r="K556" s="190"/>
      <c r="L556" s="190"/>
      <c r="M556" s="190"/>
      <c r="N556" s="190"/>
      <c r="O556" s="190"/>
    </row>
    <row r="557" spans="11:15">
      <c r="K557" s="190"/>
      <c r="L557" s="190"/>
      <c r="M557" s="190"/>
      <c r="N557" s="190"/>
      <c r="O557" s="190"/>
    </row>
    <row r="558" spans="11:15">
      <c r="K558" s="190"/>
      <c r="L558" s="190"/>
      <c r="M558" s="190"/>
      <c r="N558" s="190"/>
      <c r="O558" s="190"/>
    </row>
    <row r="559" spans="11:15">
      <c r="K559" s="190"/>
      <c r="L559" s="190"/>
      <c r="M559" s="190"/>
      <c r="N559" s="190"/>
      <c r="O559" s="190"/>
    </row>
    <row r="560" spans="11:15">
      <c r="K560" s="190"/>
      <c r="L560" s="190"/>
      <c r="M560" s="190"/>
      <c r="N560" s="190"/>
      <c r="O560" s="190"/>
    </row>
    <row r="561" spans="11:15">
      <c r="K561" s="190"/>
      <c r="L561" s="190"/>
      <c r="M561" s="190"/>
      <c r="N561" s="190"/>
      <c r="O561" s="190"/>
    </row>
    <row r="562" spans="11:15">
      <c r="K562" s="190"/>
      <c r="L562" s="190"/>
      <c r="M562" s="190"/>
      <c r="N562" s="190"/>
      <c r="O562" s="190"/>
    </row>
    <row r="563" spans="11:15">
      <c r="K563" s="190"/>
      <c r="L563" s="190"/>
      <c r="M563" s="190"/>
      <c r="N563" s="190"/>
      <c r="O563" s="190"/>
    </row>
    <row r="564" spans="11:15">
      <c r="K564" s="190"/>
      <c r="L564" s="190"/>
      <c r="M564" s="190"/>
      <c r="N564" s="190"/>
      <c r="O564" s="190"/>
    </row>
    <row r="565" spans="11:15">
      <c r="K565" s="190"/>
      <c r="L565" s="190"/>
      <c r="M565" s="190"/>
      <c r="N565" s="190"/>
      <c r="O565" s="190"/>
    </row>
    <row r="566" spans="11:15">
      <c r="K566" s="190"/>
      <c r="L566" s="190"/>
      <c r="M566" s="190"/>
      <c r="N566" s="190"/>
      <c r="O566" s="190"/>
    </row>
    <row r="567" spans="11:15">
      <c r="K567" s="190"/>
      <c r="L567" s="190"/>
      <c r="M567" s="190"/>
      <c r="N567" s="190"/>
      <c r="O567" s="190"/>
    </row>
    <row r="568" spans="11:15">
      <c r="K568" s="190"/>
      <c r="L568" s="190"/>
      <c r="M568" s="190"/>
      <c r="N568" s="190"/>
      <c r="O568" s="190"/>
    </row>
    <row r="569" spans="11:15">
      <c r="K569" s="190"/>
      <c r="L569" s="190"/>
      <c r="M569" s="190"/>
      <c r="N569" s="190"/>
      <c r="O569" s="190"/>
    </row>
    <row r="570" spans="11:15">
      <c r="K570" s="190"/>
      <c r="L570" s="190"/>
      <c r="M570" s="190"/>
      <c r="N570" s="190"/>
      <c r="O570" s="190"/>
    </row>
    <row r="571" spans="11:15">
      <c r="K571" s="190"/>
      <c r="L571" s="190"/>
      <c r="M571" s="190"/>
      <c r="N571" s="190"/>
      <c r="O571" s="190"/>
    </row>
    <row r="572" spans="11:15">
      <c r="K572" s="190"/>
      <c r="L572" s="190"/>
      <c r="M572" s="190"/>
      <c r="N572" s="190"/>
      <c r="O572" s="190"/>
    </row>
    <row r="573" spans="11:15">
      <c r="K573" s="190"/>
      <c r="L573" s="190"/>
      <c r="M573" s="190"/>
      <c r="N573" s="190"/>
      <c r="O573" s="190"/>
    </row>
    <row r="574" spans="11:15">
      <c r="K574" s="190"/>
      <c r="L574" s="190"/>
      <c r="M574" s="190"/>
      <c r="N574" s="190"/>
      <c r="O574" s="190"/>
    </row>
    <row r="575" spans="11:15">
      <c r="K575" s="190"/>
      <c r="L575" s="190"/>
      <c r="M575" s="190"/>
      <c r="N575" s="190"/>
      <c r="O575" s="190"/>
    </row>
    <row r="576" spans="11:15">
      <c r="K576" s="190"/>
      <c r="L576" s="190"/>
      <c r="M576" s="190"/>
      <c r="N576" s="190"/>
      <c r="O576" s="190"/>
    </row>
    <row r="577" spans="11:15">
      <c r="K577" s="190"/>
      <c r="L577" s="190"/>
      <c r="M577" s="190"/>
      <c r="N577" s="190"/>
      <c r="O577" s="190"/>
    </row>
    <row r="578" spans="11:15">
      <c r="K578" s="190"/>
      <c r="L578" s="190"/>
      <c r="M578" s="190"/>
      <c r="N578" s="190"/>
      <c r="O578" s="190"/>
    </row>
    <row r="579" spans="11:15">
      <c r="K579" s="190"/>
      <c r="L579" s="190"/>
      <c r="M579" s="190"/>
      <c r="N579" s="190"/>
      <c r="O579" s="190"/>
    </row>
    <row r="580" spans="11:15">
      <c r="K580" s="190"/>
      <c r="L580" s="190"/>
      <c r="M580" s="190"/>
      <c r="N580" s="190"/>
      <c r="O580" s="190"/>
    </row>
    <row r="581" spans="11:15">
      <c r="K581" s="190"/>
      <c r="L581" s="190"/>
      <c r="M581" s="190"/>
      <c r="N581" s="190"/>
      <c r="O581" s="190"/>
    </row>
    <row r="582" spans="11:15">
      <c r="K582" s="190"/>
      <c r="L582" s="190"/>
      <c r="M582" s="190"/>
      <c r="N582" s="190"/>
      <c r="O582" s="190"/>
    </row>
    <row r="583" spans="11:15">
      <c r="K583" s="190"/>
      <c r="L583" s="190"/>
      <c r="M583" s="190"/>
      <c r="N583" s="190"/>
      <c r="O583" s="190"/>
    </row>
    <row r="584" spans="11:15">
      <c r="K584" s="190"/>
      <c r="L584" s="190"/>
      <c r="M584" s="190"/>
      <c r="N584" s="190"/>
      <c r="O584" s="190"/>
    </row>
    <row r="585" spans="11:15">
      <c r="K585" s="190"/>
      <c r="L585" s="190"/>
      <c r="M585" s="190"/>
      <c r="N585" s="190"/>
      <c r="O585" s="190"/>
    </row>
    <row r="586" spans="11:15">
      <c r="K586" s="190"/>
      <c r="L586" s="190"/>
      <c r="M586" s="190"/>
      <c r="N586" s="190"/>
      <c r="O586" s="190"/>
    </row>
    <row r="587" spans="11:15">
      <c r="K587" s="190"/>
      <c r="L587" s="190"/>
      <c r="M587" s="190"/>
      <c r="N587" s="190"/>
      <c r="O587" s="190"/>
    </row>
    <row r="588" spans="11:15">
      <c r="K588" s="190"/>
      <c r="L588" s="190"/>
      <c r="M588" s="190"/>
      <c r="N588" s="190"/>
      <c r="O588" s="190"/>
    </row>
    <row r="589" spans="11:15">
      <c r="K589" s="190"/>
      <c r="L589" s="190"/>
      <c r="M589" s="190"/>
      <c r="N589" s="190"/>
      <c r="O589" s="190"/>
    </row>
    <row r="590" spans="11:15">
      <c r="K590" s="190"/>
      <c r="L590" s="190"/>
      <c r="M590" s="190"/>
      <c r="N590" s="190"/>
      <c r="O590" s="190"/>
    </row>
    <row r="591" spans="11:15">
      <c r="K591" s="190"/>
      <c r="L591" s="190"/>
      <c r="M591" s="190"/>
      <c r="N591" s="190"/>
      <c r="O591" s="190"/>
    </row>
    <row r="592" spans="11:15">
      <c r="K592" s="190"/>
      <c r="L592" s="190"/>
      <c r="M592" s="190"/>
      <c r="N592" s="190"/>
      <c r="O592" s="190"/>
    </row>
    <row r="593" spans="11:15">
      <c r="K593" s="190"/>
      <c r="L593" s="190"/>
      <c r="M593" s="190"/>
      <c r="N593" s="190"/>
      <c r="O593" s="190"/>
    </row>
    <row r="594" spans="11:15">
      <c r="K594" s="190"/>
      <c r="L594" s="190"/>
      <c r="M594" s="190"/>
      <c r="N594" s="190"/>
      <c r="O594" s="190"/>
    </row>
    <row r="595" spans="11:15">
      <c r="K595" s="190"/>
      <c r="L595" s="190"/>
      <c r="M595" s="190"/>
      <c r="N595" s="190"/>
      <c r="O595" s="190"/>
    </row>
    <row r="596" spans="11:15">
      <c r="K596" s="190"/>
      <c r="L596" s="190"/>
      <c r="M596" s="190"/>
      <c r="N596" s="190"/>
      <c r="O596" s="190"/>
    </row>
    <row r="597" spans="11:15">
      <c r="K597" s="190"/>
      <c r="L597" s="190"/>
      <c r="M597" s="190"/>
      <c r="N597" s="190"/>
      <c r="O597" s="190"/>
    </row>
    <row r="598" spans="11:15">
      <c r="K598" s="190"/>
      <c r="L598" s="190"/>
      <c r="M598" s="190"/>
      <c r="N598" s="190"/>
      <c r="O598" s="190"/>
    </row>
    <row r="599" spans="11:15">
      <c r="K599" s="190"/>
      <c r="L599" s="190"/>
      <c r="M599" s="190"/>
      <c r="N599" s="190"/>
      <c r="O599" s="190"/>
    </row>
    <row r="600" spans="11:15">
      <c r="K600" s="190"/>
      <c r="L600" s="190"/>
      <c r="M600" s="190"/>
      <c r="N600" s="190"/>
      <c r="O600" s="190"/>
    </row>
    <row r="601" spans="11:15">
      <c r="K601" s="190"/>
      <c r="L601" s="190"/>
      <c r="M601" s="190"/>
      <c r="N601" s="190"/>
      <c r="O601" s="190"/>
    </row>
    <row r="602" spans="11:15">
      <c r="K602" s="190"/>
      <c r="L602" s="190"/>
      <c r="M602" s="190"/>
      <c r="N602" s="190"/>
      <c r="O602" s="190"/>
    </row>
    <row r="603" spans="11:15">
      <c r="K603" s="190"/>
      <c r="L603" s="190"/>
      <c r="M603" s="190"/>
      <c r="N603" s="190"/>
      <c r="O603" s="190"/>
    </row>
    <row r="604" spans="11:15">
      <c r="K604" s="190"/>
      <c r="L604" s="190"/>
      <c r="M604" s="190"/>
      <c r="N604" s="190"/>
      <c r="O604" s="190"/>
    </row>
    <row r="605" spans="11:15">
      <c r="K605" s="190"/>
      <c r="L605" s="190"/>
      <c r="M605" s="190"/>
      <c r="N605" s="190"/>
      <c r="O605" s="190"/>
    </row>
    <row r="606" spans="11:15">
      <c r="K606" s="190"/>
      <c r="L606" s="190"/>
      <c r="M606" s="190"/>
      <c r="N606" s="190"/>
      <c r="O606" s="190"/>
    </row>
    <row r="607" spans="11:15">
      <c r="K607" s="190"/>
      <c r="L607" s="190"/>
      <c r="M607" s="190"/>
      <c r="N607" s="190"/>
      <c r="O607" s="190"/>
    </row>
    <row r="608" spans="11:15">
      <c r="K608" s="190"/>
      <c r="L608" s="190"/>
      <c r="M608" s="190"/>
      <c r="N608" s="190"/>
      <c r="O608" s="190"/>
    </row>
    <row r="609" spans="11:15">
      <c r="K609" s="190"/>
      <c r="L609" s="190"/>
      <c r="M609" s="190"/>
      <c r="N609" s="190"/>
      <c r="O609" s="190"/>
    </row>
    <row r="610" spans="11:15">
      <c r="K610" s="190"/>
      <c r="L610" s="190"/>
      <c r="M610" s="190"/>
      <c r="N610" s="190"/>
      <c r="O610" s="190"/>
    </row>
    <row r="611" spans="11:15">
      <c r="K611" s="190"/>
      <c r="L611" s="190"/>
      <c r="M611" s="190"/>
      <c r="N611" s="190"/>
      <c r="O611" s="190"/>
    </row>
    <row r="612" spans="11:15">
      <c r="K612" s="190"/>
      <c r="L612" s="190"/>
      <c r="M612" s="190"/>
      <c r="N612" s="190"/>
      <c r="O612" s="190"/>
    </row>
    <row r="613" spans="11:15">
      <c r="K613" s="190"/>
      <c r="L613" s="190"/>
      <c r="M613" s="190"/>
      <c r="N613" s="190"/>
      <c r="O613" s="190"/>
    </row>
    <row r="614" spans="11:15">
      <c r="K614" s="190"/>
      <c r="L614" s="190"/>
      <c r="M614" s="190"/>
      <c r="N614" s="190"/>
      <c r="O614" s="190"/>
    </row>
    <row r="615" spans="11:15">
      <c r="K615" s="190"/>
      <c r="L615" s="190"/>
      <c r="M615" s="190"/>
      <c r="N615" s="190"/>
      <c r="O615" s="190"/>
    </row>
    <row r="616" spans="11:15">
      <c r="K616" s="190"/>
      <c r="L616" s="190"/>
      <c r="M616" s="190"/>
      <c r="N616" s="190"/>
      <c r="O616" s="190"/>
    </row>
    <row r="617" spans="11:15">
      <c r="K617" s="190"/>
      <c r="L617" s="190"/>
      <c r="M617" s="190"/>
      <c r="N617" s="190"/>
      <c r="O617" s="190"/>
    </row>
    <row r="618" spans="11:15">
      <c r="K618" s="190"/>
      <c r="L618" s="190"/>
      <c r="M618" s="190"/>
      <c r="N618" s="190"/>
      <c r="O618" s="190"/>
    </row>
    <row r="619" spans="11:15">
      <c r="K619" s="190"/>
      <c r="L619" s="190"/>
      <c r="M619" s="190"/>
      <c r="N619" s="190"/>
      <c r="O619" s="190"/>
    </row>
    <row r="620" spans="11:15">
      <c r="K620" s="190"/>
      <c r="L620" s="190"/>
      <c r="M620" s="190"/>
      <c r="N620" s="190"/>
      <c r="O620" s="190"/>
    </row>
    <row r="621" spans="11:15">
      <c r="K621" s="190"/>
      <c r="L621" s="190"/>
      <c r="M621" s="190"/>
      <c r="N621" s="190"/>
      <c r="O621" s="190"/>
    </row>
    <row r="622" spans="11:15">
      <c r="K622" s="190"/>
      <c r="L622" s="190"/>
      <c r="M622" s="190"/>
      <c r="N622" s="190"/>
      <c r="O622" s="190"/>
    </row>
    <row r="623" spans="11:15">
      <c r="K623" s="190"/>
      <c r="L623" s="190"/>
      <c r="M623" s="190"/>
      <c r="N623" s="190"/>
      <c r="O623" s="190"/>
    </row>
    <row r="624" spans="11:15">
      <c r="K624" s="190"/>
      <c r="L624" s="190"/>
      <c r="M624" s="190"/>
      <c r="N624" s="190"/>
      <c r="O624" s="190"/>
    </row>
    <row r="625" spans="11:15">
      <c r="K625" s="190"/>
      <c r="L625" s="190"/>
      <c r="M625" s="190"/>
      <c r="N625" s="190"/>
      <c r="O625" s="190"/>
    </row>
    <row r="626" spans="11:15">
      <c r="K626" s="190"/>
      <c r="L626" s="190"/>
      <c r="M626" s="190"/>
      <c r="N626" s="190"/>
      <c r="O626" s="190"/>
    </row>
    <row r="627" spans="11:15">
      <c r="K627" s="190"/>
      <c r="L627" s="190"/>
      <c r="M627" s="190"/>
      <c r="N627" s="190"/>
      <c r="O627" s="190"/>
    </row>
    <row r="628" spans="11:15">
      <c r="K628" s="190"/>
      <c r="L628" s="190"/>
      <c r="M628" s="190"/>
      <c r="N628" s="190"/>
      <c r="O628" s="190"/>
    </row>
    <row r="629" spans="11:15">
      <c r="K629" s="190"/>
      <c r="L629" s="190"/>
      <c r="M629" s="190"/>
      <c r="N629" s="190"/>
      <c r="O629" s="190"/>
    </row>
    <row r="630" spans="11:15">
      <c r="K630" s="190"/>
      <c r="L630" s="190"/>
      <c r="M630" s="190"/>
      <c r="N630" s="190"/>
      <c r="O630" s="190"/>
    </row>
    <row r="631" spans="11:15">
      <c r="K631" s="190"/>
      <c r="L631" s="190"/>
      <c r="M631" s="190"/>
      <c r="N631" s="190"/>
      <c r="O631" s="190"/>
    </row>
    <row r="632" spans="11:15">
      <c r="K632" s="190"/>
      <c r="L632" s="190"/>
      <c r="M632" s="190"/>
      <c r="N632" s="190"/>
      <c r="O632" s="190"/>
    </row>
    <row r="633" spans="11:15">
      <c r="K633" s="190"/>
      <c r="L633" s="190"/>
      <c r="M633" s="190"/>
      <c r="N633" s="190"/>
      <c r="O633" s="190"/>
    </row>
    <row r="634" spans="11:15">
      <c r="K634" s="190"/>
      <c r="L634" s="190"/>
      <c r="M634" s="190"/>
      <c r="N634" s="190"/>
      <c r="O634" s="190"/>
    </row>
    <row r="635" spans="11:15">
      <c r="K635" s="190"/>
      <c r="L635" s="190"/>
      <c r="M635" s="190"/>
      <c r="N635" s="190"/>
      <c r="O635" s="190"/>
    </row>
    <row r="636" spans="11:15">
      <c r="K636" s="190"/>
      <c r="L636" s="190"/>
      <c r="M636" s="190"/>
      <c r="N636" s="190"/>
      <c r="O636" s="190"/>
    </row>
    <row r="637" spans="11:15">
      <c r="K637" s="190"/>
      <c r="L637" s="190"/>
      <c r="M637" s="190"/>
      <c r="N637" s="190"/>
      <c r="O637" s="190"/>
    </row>
    <row r="638" spans="11:15">
      <c r="K638" s="190"/>
      <c r="L638" s="190"/>
      <c r="M638" s="190"/>
      <c r="N638" s="190"/>
      <c r="O638" s="190"/>
    </row>
    <row r="639" spans="11:15">
      <c r="K639" s="190"/>
      <c r="L639" s="190"/>
      <c r="M639" s="190"/>
      <c r="N639" s="190"/>
      <c r="O639" s="190"/>
    </row>
    <row r="640" spans="11:15">
      <c r="K640" s="190"/>
      <c r="L640" s="190"/>
      <c r="M640" s="190"/>
      <c r="N640" s="190"/>
      <c r="O640" s="190"/>
    </row>
    <row r="641" spans="11:15">
      <c r="K641" s="190"/>
      <c r="L641" s="190"/>
      <c r="M641" s="190"/>
      <c r="N641" s="190"/>
      <c r="O641" s="190"/>
    </row>
    <row r="642" spans="11:15">
      <c r="K642" s="190"/>
      <c r="L642" s="190"/>
      <c r="M642" s="190"/>
      <c r="N642" s="190"/>
      <c r="O642" s="190"/>
    </row>
    <row r="643" spans="11:15">
      <c r="K643" s="190"/>
      <c r="L643" s="190"/>
      <c r="M643" s="190"/>
      <c r="N643" s="190"/>
      <c r="O643" s="190"/>
    </row>
    <row r="644" spans="11:15">
      <c r="K644" s="190"/>
      <c r="L644" s="190"/>
      <c r="M644" s="190"/>
      <c r="N644" s="190"/>
      <c r="O644" s="190"/>
    </row>
    <row r="645" spans="11:15">
      <c r="K645" s="190"/>
      <c r="L645" s="190"/>
      <c r="M645" s="190"/>
      <c r="N645" s="190"/>
      <c r="O645" s="190"/>
    </row>
    <row r="646" spans="11:15">
      <c r="K646" s="190"/>
      <c r="L646" s="190"/>
      <c r="M646" s="190"/>
      <c r="N646" s="190"/>
      <c r="O646" s="190"/>
    </row>
    <row r="647" spans="11:15">
      <c r="K647" s="190"/>
      <c r="L647" s="190"/>
      <c r="M647" s="190"/>
      <c r="N647" s="190"/>
      <c r="O647" s="190"/>
    </row>
    <row r="648" spans="11:15">
      <c r="K648" s="190"/>
      <c r="L648" s="190"/>
      <c r="M648" s="190"/>
      <c r="N648" s="190"/>
      <c r="O648" s="190"/>
    </row>
    <row r="649" spans="11:15">
      <c r="K649" s="190"/>
      <c r="L649" s="190"/>
      <c r="M649" s="190"/>
      <c r="N649" s="190"/>
      <c r="O649" s="190"/>
    </row>
    <row r="650" spans="11:15">
      <c r="K650" s="190"/>
      <c r="L650" s="190"/>
      <c r="M650" s="190"/>
      <c r="N650" s="190"/>
      <c r="O650" s="190"/>
    </row>
    <row r="651" spans="11:15">
      <c r="K651" s="190"/>
      <c r="L651" s="190"/>
      <c r="M651" s="190"/>
      <c r="N651" s="190"/>
      <c r="O651" s="190"/>
    </row>
    <row r="652" spans="11:15">
      <c r="K652" s="190"/>
      <c r="L652" s="190"/>
      <c r="M652" s="190"/>
      <c r="N652" s="190"/>
      <c r="O652" s="190"/>
    </row>
    <row r="653" spans="11:15">
      <c r="K653" s="190"/>
      <c r="L653" s="190"/>
      <c r="M653" s="190"/>
      <c r="N653" s="190"/>
      <c r="O653" s="190"/>
    </row>
    <row r="654" spans="11:15">
      <c r="K654" s="190"/>
      <c r="L654" s="190"/>
      <c r="M654" s="190"/>
      <c r="N654" s="190"/>
      <c r="O654" s="190"/>
    </row>
    <row r="655" spans="11:15">
      <c r="K655" s="190"/>
      <c r="L655" s="190"/>
      <c r="M655" s="190"/>
      <c r="N655" s="190"/>
      <c r="O655" s="190"/>
    </row>
    <row r="656" spans="11:15">
      <c r="K656" s="190"/>
      <c r="L656" s="190"/>
      <c r="M656" s="190"/>
      <c r="N656" s="190"/>
      <c r="O656" s="190"/>
    </row>
    <row r="657" spans="11:15">
      <c r="K657" s="190"/>
      <c r="L657" s="190"/>
      <c r="M657" s="190"/>
      <c r="N657" s="190"/>
      <c r="O657" s="190"/>
    </row>
    <row r="658" spans="11:15">
      <c r="K658" s="190"/>
      <c r="L658" s="190"/>
      <c r="M658" s="190"/>
      <c r="N658" s="190"/>
      <c r="O658" s="190"/>
    </row>
    <row r="659" spans="11:15">
      <c r="K659" s="190"/>
      <c r="L659" s="190"/>
      <c r="M659" s="190"/>
      <c r="N659" s="190"/>
      <c r="O659" s="190"/>
    </row>
    <row r="660" spans="11:15">
      <c r="K660" s="190"/>
      <c r="L660" s="190"/>
      <c r="M660" s="190"/>
      <c r="N660" s="190"/>
      <c r="O660" s="190"/>
    </row>
    <row r="661" spans="11:15">
      <c r="K661" s="190"/>
      <c r="L661" s="190"/>
      <c r="M661" s="190"/>
      <c r="N661" s="190"/>
      <c r="O661" s="190"/>
    </row>
    <row r="662" spans="11:15">
      <c r="K662" s="190"/>
      <c r="L662" s="190"/>
      <c r="M662" s="190"/>
      <c r="N662" s="190"/>
      <c r="O662" s="190"/>
    </row>
    <row r="663" spans="11:15">
      <c r="K663" s="190"/>
      <c r="L663" s="190"/>
      <c r="M663" s="190"/>
      <c r="N663" s="190"/>
      <c r="O663" s="190"/>
    </row>
    <row r="664" spans="11:15">
      <c r="K664" s="190"/>
      <c r="L664" s="190"/>
      <c r="M664" s="190"/>
      <c r="N664" s="190"/>
      <c r="O664" s="190"/>
    </row>
    <row r="665" spans="11:15">
      <c r="K665" s="190"/>
      <c r="L665" s="190"/>
      <c r="M665" s="190"/>
      <c r="N665" s="190"/>
      <c r="O665" s="190"/>
    </row>
    <row r="666" spans="11:15">
      <c r="K666" s="190"/>
      <c r="L666" s="190"/>
      <c r="M666" s="190"/>
      <c r="N666" s="190"/>
      <c r="O666" s="190"/>
    </row>
    <row r="667" spans="11:15">
      <c r="K667" s="190"/>
      <c r="L667" s="190"/>
      <c r="M667" s="190"/>
      <c r="N667" s="190"/>
      <c r="O667" s="190"/>
    </row>
    <row r="668" spans="11:15">
      <c r="K668" s="190"/>
      <c r="L668" s="190"/>
      <c r="M668" s="190"/>
      <c r="N668" s="190"/>
      <c r="O668" s="190"/>
    </row>
    <row r="669" spans="11:15">
      <c r="K669" s="190"/>
      <c r="L669" s="190"/>
      <c r="M669" s="190"/>
      <c r="N669" s="190"/>
      <c r="O669" s="190"/>
    </row>
    <row r="670" spans="11:15">
      <c r="K670" s="190"/>
      <c r="L670" s="190"/>
      <c r="M670" s="190"/>
      <c r="N670" s="190"/>
      <c r="O670" s="190"/>
    </row>
    <row r="671" spans="11:15">
      <c r="K671" s="190"/>
      <c r="L671" s="190"/>
      <c r="M671" s="190"/>
      <c r="N671" s="190"/>
      <c r="O671" s="190"/>
    </row>
    <row r="672" spans="11:15">
      <c r="K672" s="190"/>
      <c r="L672" s="190"/>
      <c r="M672" s="190"/>
      <c r="N672" s="190"/>
      <c r="O672" s="190"/>
    </row>
    <row r="673" spans="11:15">
      <c r="K673" s="190"/>
      <c r="L673" s="190"/>
      <c r="M673" s="190"/>
      <c r="N673" s="190"/>
      <c r="O673" s="190"/>
    </row>
    <row r="674" spans="11:15">
      <c r="K674" s="190"/>
      <c r="L674" s="190"/>
      <c r="M674" s="190"/>
      <c r="N674" s="190"/>
      <c r="O674" s="190"/>
    </row>
    <row r="675" spans="11:15">
      <c r="K675" s="190"/>
      <c r="L675" s="190"/>
      <c r="M675" s="190"/>
      <c r="N675" s="190"/>
      <c r="O675" s="190"/>
    </row>
    <row r="676" spans="11:15">
      <c r="K676" s="190"/>
      <c r="L676" s="190"/>
      <c r="M676" s="190"/>
      <c r="N676" s="190"/>
      <c r="O676" s="190"/>
    </row>
    <row r="677" spans="11:15">
      <c r="K677" s="190"/>
      <c r="L677" s="190"/>
      <c r="M677" s="190"/>
      <c r="N677" s="190"/>
      <c r="O677" s="190"/>
    </row>
    <row r="678" spans="11:15">
      <c r="K678" s="190"/>
      <c r="L678" s="190"/>
      <c r="M678" s="190"/>
      <c r="N678" s="190"/>
      <c r="O678" s="190"/>
    </row>
    <row r="679" spans="11:15">
      <c r="K679" s="190"/>
      <c r="L679" s="190"/>
      <c r="M679" s="190"/>
      <c r="N679" s="190"/>
      <c r="O679" s="190"/>
    </row>
    <row r="680" spans="11:15">
      <c r="K680" s="190"/>
      <c r="L680" s="190"/>
      <c r="M680" s="190"/>
      <c r="N680" s="190"/>
      <c r="O680" s="190"/>
    </row>
    <row r="681" spans="11:15">
      <c r="K681" s="190"/>
      <c r="L681" s="190"/>
      <c r="M681" s="190"/>
      <c r="N681" s="190"/>
      <c r="O681" s="190"/>
    </row>
    <row r="682" spans="11:15">
      <c r="K682" s="190"/>
      <c r="L682" s="190"/>
      <c r="M682" s="190"/>
      <c r="N682" s="190"/>
      <c r="O682" s="190"/>
    </row>
    <row r="683" spans="11:15">
      <c r="K683" s="190"/>
      <c r="L683" s="190"/>
      <c r="M683" s="190"/>
      <c r="N683" s="190"/>
      <c r="O683" s="190"/>
    </row>
    <row r="684" spans="11:15">
      <c r="K684" s="190"/>
      <c r="L684" s="190"/>
      <c r="M684" s="190"/>
      <c r="N684" s="190"/>
      <c r="O684" s="190"/>
    </row>
    <row r="685" spans="11:15">
      <c r="K685" s="190"/>
      <c r="L685" s="190"/>
      <c r="M685" s="190"/>
      <c r="N685" s="190"/>
      <c r="O685" s="190"/>
    </row>
    <row r="686" spans="11:15">
      <c r="K686" s="190"/>
      <c r="L686" s="190"/>
      <c r="M686" s="190"/>
      <c r="N686" s="190"/>
      <c r="O686" s="190"/>
    </row>
    <row r="687" spans="11:15">
      <c r="K687" s="190"/>
      <c r="L687" s="190"/>
      <c r="M687" s="190"/>
      <c r="N687" s="190"/>
      <c r="O687" s="190"/>
    </row>
    <row r="688" spans="11:15">
      <c r="K688" s="190"/>
      <c r="L688" s="190"/>
      <c r="M688" s="190"/>
      <c r="N688" s="190"/>
      <c r="O688" s="190"/>
    </row>
    <row r="689" spans="11:15">
      <c r="K689" s="190"/>
      <c r="L689" s="190"/>
      <c r="M689" s="190"/>
      <c r="N689" s="190"/>
      <c r="O689" s="190"/>
    </row>
    <row r="690" spans="11:15">
      <c r="K690" s="190"/>
      <c r="L690" s="190"/>
      <c r="M690" s="190"/>
      <c r="N690" s="190"/>
      <c r="O690" s="190"/>
    </row>
    <row r="691" spans="11:15">
      <c r="K691" s="190"/>
      <c r="L691" s="190"/>
      <c r="M691" s="190"/>
      <c r="N691" s="190"/>
      <c r="O691" s="190"/>
    </row>
    <row r="692" spans="11:15">
      <c r="K692" s="190"/>
      <c r="L692" s="190"/>
      <c r="M692" s="190"/>
      <c r="N692" s="190"/>
      <c r="O692" s="190"/>
    </row>
    <row r="693" spans="11:15">
      <c r="K693" s="190"/>
      <c r="L693" s="190"/>
      <c r="M693" s="190"/>
      <c r="N693" s="190"/>
      <c r="O693" s="190"/>
    </row>
    <row r="694" spans="11:15">
      <c r="K694" s="190"/>
      <c r="L694" s="190"/>
      <c r="M694" s="190"/>
      <c r="N694" s="190"/>
      <c r="O694" s="190"/>
    </row>
    <row r="695" spans="11:15">
      <c r="K695" s="190"/>
      <c r="L695" s="190"/>
      <c r="M695" s="190"/>
      <c r="N695" s="190"/>
      <c r="O695" s="190"/>
    </row>
    <row r="696" spans="11:15">
      <c r="K696" s="190"/>
      <c r="L696" s="190"/>
      <c r="M696" s="190"/>
      <c r="N696" s="190"/>
      <c r="O696" s="190"/>
    </row>
    <row r="697" spans="11:15">
      <c r="K697" s="190"/>
      <c r="L697" s="190"/>
      <c r="M697" s="190"/>
      <c r="N697" s="190"/>
      <c r="O697" s="190"/>
    </row>
    <row r="698" spans="11:15">
      <c r="K698" s="190"/>
      <c r="L698" s="190"/>
      <c r="M698" s="190"/>
      <c r="N698" s="190"/>
      <c r="O698" s="190"/>
    </row>
    <row r="699" spans="11:15">
      <c r="K699" s="190"/>
      <c r="L699" s="190"/>
      <c r="M699" s="190"/>
      <c r="N699" s="190"/>
      <c r="O699" s="190"/>
    </row>
    <row r="700" spans="11:15">
      <c r="K700" s="190"/>
      <c r="L700" s="190"/>
      <c r="M700" s="190"/>
      <c r="N700" s="190"/>
      <c r="O700" s="190"/>
    </row>
    <row r="701" spans="11:15">
      <c r="K701" s="190"/>
      <c r="L701" s="190"/>
      <c r="M701" s="190"/>
      <c r="N701" s="190"/>
      <c r="O701" s="190"/>
    </row>
    <row r="702" spans="11:15">
      <c r="K702" s="190"/>
      <c r="L702" s="190"/>
      <c r="M702" s="190"/>
      <c r="N702" s="190"/>
      <c r="O702" s="190"/>
    </row>
    <row r="703" spans="11:15">
      <c r="K703" s="190"/>
      <c r="L703" s="190"/>
      <c r="M703" s="190"/>
      <c r="N703" s="190"/>
      <c r="O703" s="190"/>
    </row>
    <row r="704" spans="11:15">
      <c r="K704" s="190"/>
      <c r="L704" s="190"/>
      <c r="M704" s="190"/>
      <c r="N704" s="190"/>
      <c r="O704" s="190"/>
    </row>
    <row r="705" spans="11:15">
      <c r="K705" s="190"/>
      <c r="L705" s="190"/>
      <c r="M705" s="190"/>
      <c r="N705" s="190"/>
      <c r="O705" s="190"/>
    </row>
    <row r="706" spans="11:15">
      <c r="K706" s="190"/>
      <c r="L706" s="190"/>
      <c r="M706" s="190"/>
      <c r="N706" s="190"/>
      <c r="O706" s="190"/>
    </row>
    <row r="707" spans="11:15">
      <c r="K707" s="190"/>
      <c r="L707" s="190"/>
      <c r="M707" s="190"/>
      <c r="N707" s="190"/>
      <c r="O707" s="190"/>
    </row>
    <row r="708" spans="11:15">
      <c r="K708" s="190"/>
      <c r="L708" s="190"/>
      <c r="M708" s="190"/>
      <c r="N708" s="190"/>
      <c r="O708" s="190"/>
    </row>
    <row r="709" spans="11:15">
      <c r="K709" s="190"/>
      <c r="L709" s="190"/>
      <c r="M709" s="190"/>
      <c r="N709" s="190"/>
      <c r="O709" s="190"/>
    </row>
    <row r="710" spans="11:15">
      <c r="K710" s="190"/>
      <c r="L710" s="190"/>
      <c r="M710" s="190"/>
      <c r="N710" s="190"/>
      <c r="O710" s="190"/>
    </row>
    <row r="711" spans="11:15">
      <c r="K711" s="190"/>
      <c r="L711" s="190"/>
      <c r="M711" s="190"/>
      <c r="N711" s="190"/>
      <c r="O711" s="190"/>
    </row>
    <row r="712" spans="11:15">
      <c r="K712" s="190"/>
      <c r="L712" s="190"/>
      <c r="M712" s="190"/>
      <c r="N712" s="190"/>
      <c r="O712" s="190"/>
    </row>
    <row r="713" spans="11:15">
      <c r="K713" s="190"/>
      <c r="L713" s="190"/>
      <c r="M713" s="190"/>
      <c r="N713" s="190"/>
      <c r="O713" s="190"/>
    </row>
    <row r="714" spans="11:15">
      <c r="K714" s="190"/>
      <c r="L714" s="190"/>
      <c r="M714" s="190"/>
      <c r="N714" s="190"/>
      <c r="O714" s="190"/>
    </row>
    <row r="715" spans="11:15">
      <c r="K715" s="190"/>
      <c r="L715" s="190"/>
      <c r="M715" s="190"/>
      <c r="N715" s="190"/>
      <c r="O715" s="190"/>
    </row>
    <row r="716" spans="11:15">
      <c r="K716" s="190"/>
      <c r="L716" s="190"/>
      <c r="M716" s="190"/>
      <c r="N716" s="190"/>
      <c r="O716" s="190"/>
    </row>
    <row r="717" spans="11:15">
      <c r="K717" s="190"/>
      <c r="L717" s="190"/>
      <c r="M717" s="190"/>
      <c r="N717" s="190"/>
      <c r="O717" s="190"/>
    </row>
    <row r="718" spans="11:15">
      <c r="K718" s="190"/>
      <c r="L718" s="190"/>
      <c r="M718" s="190"/>
      <c r="N718" s="190"/>
      <c r="O718" s="190"/>
    </row>
    <row r="719" spans="11:15">
      <c r="K719" s="190"/>
      <c r="L719" s="190"/>
      <c r="M719" s="190"/>
      <c r="N719" s="190"/>
      <c r="O719" s="190"/>
    </row>
    <row r="720" spans="11:15">
      <c r="K720" s="190"/>
      <c r="L720" s="190"/>
      <c r="M720" s="190"/>
      <c r="N720" s="190"/>
      <c r="O720" s="190"/>
    </row>
    <row r="721" spans="11:15">
      <c r="K721" s="190"/>
      <c r="L721" s="190"/>
      <c r="M721" s="190"/>
      <c r="N721" s="190"/>
      <c r="O721" s="190"/>
    </row>
    <row r="722" spans="11:15">
      <c r="K722" s="190"/>
      <c r="L722" s="190"/>
      <c r="M722" s="190"/>
      <c r="N722" s="190"/>
      <c r="O722" s="190"/>
    </row>
    <row r="723" spans="11:15">
      <c r="K723" s="190"/>
      <c r="L723" s="190"/>
      <c r="M723" s="190"/>
      <c r="N723" s="190"/>
      <c r="O723" s="190"/>
    </row>
    <row r="724" spans="11:15">
      <c r="K724" s="190"/>
      <c r="L724" s="190"/>
      <c r="M724" s="190"/>
      <c r="N724" s="190"/>
      <c r="O724" s="190"/>
    </row>
    <row r="725" spans="11:15">
      <c r="K725" s="190"/>
      <c r="L725" s="190"/>
      <c r="M725" s="190"/>
      <c r="N725" s="190"/>
      <c r="O725" s="190"/>
    </row>
    <row r="726" spans="11:15">
      <c r="K726" s="190"/>
      <c r="L726" s="190"/>
      <c r="M726" s="190"/>
      <c r="N726" s="190"/>
      <c r="O726" s="190"/>
    </row>
    <row r="727" spans="11:15">
      <c r="K727" s="190"/>
      <c r="L727" s="190"/>
      <c r="M727" s="190"/>
      <c r="N727" s="190"/>
      <c r="O727" s="190"/>
    </row>
    <row r="728" spans="11:15">
      <c r="K728" s="190"/>
      <c r="L728" s="190"/>
      <c r="M728" s="190"/>
      <c r="N728" s="190"/>
      <c r="O728" s="190"/>
    </row>
    <row r="729" spans="11:15">
      <c r="K729" s="190"/>
      <c r="L729" s="190"/>
      <c r="M729" s="190"/>
      <c r="N729" s="190"/>
      <c r="O729" s="190"/>
    </row>
    <row r="730" spans="11:15">
      <c r="K730" s="190"/>
      <c r="L730" s="190"/>
      <c r="M730" s="190"/>
      <c r="N730" s="190"/>
      <c r="O730" s="190"/>
    </row>
    <row r="731" spans="11:15">
      <c r="K731" s="190"/>
      <c r="L731" s="190"/>
      <c r="M731" s="190"/>
      <c r="N731" s="190"/>
      <c r="O731" s="190"/>
    </row>
    <row r="732" spans="11:15">
      <c r="K732" s="190"/>
      <c r="L732" s="190"/>
      <c r="M732" s="190"/>
      <c r="N732" s="190"/>
      <c r="O732" s="190"/>
    </row>
    <row r="733" spans="11:15">
      <c r="K733" s="190"/>
      <c r="L733" s="190"/>
      <c r="M733" s="190"/>
      <c r="N733" s="190"/>
      <c r="O733" s="190"/>
    </row>
    <row r="734" spans="11:15">
      <c r="K734" s="190"/>
      <c r="L734" s="190"/>
      <c r="M734" s="190"/>
      <c r="N734" s="190"/>
      <c r="O734" s="190"/>
    </row>
    <row r="735" spans="11:15">
      <c r="K735" s="190"/>
      <c r="L735" s="190"/>
      <c r="M735" s="190"/>
      <c r="N735" s="190"/>
      <c r="O735" s="190"/>
    </row>
    <row r="736" spans="11:15">
      <c r="K736" s="190"/>
      <c r="L736" s="190"/>
      <c r="M736" s="190"/>
      <c r="N736" s="190"/>
      <c r="O736" s="190"/>
    </row>
    <row r="737" spans="11:15">
      <c r="K737" s="190"/>
      <c r="L737" s="190"/>
      <c r="M737" s="190"/>
      <c r="N737" s="190"/>
      <c r="O737" s="190"/>
    </row>
    <row r="738" spans="11:15">
      <c r="K738" s="190"/>
      <c r="L738" s="190"/>
      <c r="M738" s="190"/>
      <c r="N738" s="190"/>
      <c r="O738" s="190"/>
    </row>
    <row r="739" spans="11:15">
      <c r="K739" s="190"/>
      <c r="L739" s="190"/>
      <c r="M739" s="190"/>
      <c r="N739" s="190"/>
      <c r="O739" s="190"/>
    </row>
    <row r="740" spans="11:15">
      <c r="K740" s="190"/>
      <c r="L740" s="190"/>
      <c r="M740" s="190"/>
      <c r="N740" s="190"/>
      <c r="O740" s="190"/>
    </row>
    <row r="741" spans="11:15">
      <c r="K741" s="190"/>
      <c r="L741" s="190"/>
      <c r="M741" s="190"/>
      <c r="N741" s="190"/>
      <c r="O741" s="190"/>
    </row>
    <row r="742" spans="11:15">
      <c r="K742" s="190"/>
      <c r="L742" s="190"/>
      <c r="M742" s="190"/>
      <c r="N742" s="190"/>
      <c r="O742" s="190"/>
    </row>
    <row r="743" spans="11:15">
      <c r="K743" s="190"/>
      <c r="L743" s="190"/>
      <c r="M743" s="190"/>
      <c r="N743" s="190"/>
      <c r="O743" s="190"/>
    </row>
    <row r="744" spans="11:15">
      <c r="K744" s="190"/>
      <c r="L744" s="190"/>
      <c r="M744" s="190"/>
      <c r="N744" s="190"/>
      <c r="O744" s="190"/>
    </row>
    <row r="745" spans="11:15">
      <c r="K745" s="190"/>
      <c r="L745" s="190"/>
      <c r="M745" s="190"/>
      <c r="N745" s="190"/>
      <c r="O745" s="190"/>
    </row>
    <row r="746" spans="11:15">
      <c r="K746" s="190"/>
      <c r="L746" s="190"/>
      <c r="M746" s="190"/>
      <c r="N746" s="190"/>
      <c r="O746" s="190"/>
    </row>
    <row r="747" spans="11:15">
      <c r="K747" s="190"/>
      <c r="L747" s="190"/>
      <c r="M747" s="190"/>
      <c r="N747" s="190"/>
      <c r="O747" s="190"/>
    </row>
    <row r="748" spans="11:15">
      <c r="K748" s="190"/>
      <c r="L748" s="190"/>
      <c r="M748" s="190"/>
      <c r="N748" s="190"/>
      <c r="O748" s="190"/>
    </row>
    <row r="749" spans="11:15">
      <c r="K749" s="190"/>
      <c r="L749" s="190"/>
      <c r="M749" s="190"/>
      <c r="N749" s="190"/>
      <c r="O749" s="190"/>
    </row>
    <row r="750" spans="11:15">
      <c r="K750" s="190"/>
      <c r="L750" s="190"/>
      <c r="M750" s="190"/>
      <c r="N750" s="190"/>
      <c r="O750" s="190"/>
    </row>
    <row r="751" spans="11:15">
      <c r="K751" s="190"/>
      <c r="L751" s="190"/>
      <c r="M751" s="190"/>
      <c r="N751" s="190"/>
      <c r="O751" s="190"/>
    </row>
    <row r="752" spans="11:15">
      <c r="K752" s="190"/>
      <c r="L752" s="190"/>
      <c r="M752" s="190"/>
      <c r="N752" s="190"/>
      <c r="O752" s="190"/>
    </row>
    <row r="753" spans="11:15">
      <c r="K753" s="190"/>
      <c r="L753" s="190"/>
      <c r="M753" s="190"/>
      <c r="N753" s="190"/>
      <c r="O753" s="190"/>
    </row>
    <row r="754" spans="11:15">
      <c r="K754" s="190"/>
      <c r="L754" s="190"/>
      <c r="M754" s="190"/>
      <c r="N754" s="190"/>
      <c r="O754" s="190"/>
    </row>
    <row r="755" spans="11:15">
      <c r="K755" s="190"/>
      <c r="L755" s="190"/>
      <c r="M755" s="190"/>
      <c r="N755" s="190"/>
      <c r="O755" s="190"/>
    </row>
    <row r="756" spans="11:15">
      <c r="K756" s="190"/>
      <c r="L756" s="190"/>
      <c r="M756" s="190"/>
      <c r="N756" s="190"/>
      <c r="O756" s="190"/>
    </row>
    <row r="757" spans="11:15">
      <c r="K757" s="190"/>
      <c r="L757" s="190"/>
      <c r="M757" s="190"/>
      <c r="N757" s="190"/>
      <c r="O757" s="190"/>
    </row>
    <row r="758" spans="11:15">
      <c r="K758" s="190"/>
      <c r="L758" s="190"/>
      <c r="M758" s="190"/>
      <c r="N758" s="190"/>
      <c r="O758" s="190"/>
    </row>
    <row r="759" spans="11:15">
      <c r="K759" s="190"/>
      <c r="L759" s="190"/>
      <c r="M759" s="190"/>
      <c r="N759" s="190"/>
      <c r="O759" s="190"/>
    </row>
    <row r="760" spans="11:15">
      <c r="K760" s="190"/>
      <c r="L760" s="190"/>
      <c r="M760" s="190"/>
      <c r="N760" s="190"/>
      <c r="O760" s="190"/>
    </row>
    <row r="761" spans="11:15">
      <c r="K761" s="190"/>
      <c r="L761" s="190"/>
      <c r="M761" s="190"/>
      <c r="N761" s="190"/>
      <c r="O761" s="190"/>
    </row>
    <row r="762" spans="11:15">
      <c r="K762" s="190"/>
      <c r="L762" s="190"/>
      <c r="M762" s="190"/>
      <c r="N762" s="190"/>
      <c r="O762" s="190"/>
    </row>
    <row r="763" spans="11:15">
      <c r="K763" s="190"/>
      <c r="L763" s="190"/>
      <c r="M763" s="190"/>
      <c r="N763" s="190"/>
      <c r="O763" s="190"/>
    </row>
    <row r="764" spans="11:15">
      <c r="K764" s="190"/>
      <c r="L764" s="190"/>
      <c r="M764" s="190"/>
      <c r="N764" s="190"/>
      <c r="O764" s="190"/>
    </row>
    <row r="765" spans="11:15">
      <c r="K765" s="190"/>
      <c r="L765" s="190"/>
      <c r="M765" s="190"/>
      <c r="N765" s="190"/>
      <c r="O765" s="190"/>
    </row>
    <row r="766" spans="11:15">
      <c r="K766" s="190"/>
      <c r="L766" s="190"/>
      <c r="M766" s="190"/>
      <c r="N766" s="190"/>
      <c r="O766" s="190"/>
    </row>
    <row r="767" spans="11:15">
      <c r="K767" s="190"/>
      <c r="L767" s="190"/>
      <c r="M767" s="190"/>
      <c r="N767" s="190"/>
      <c r="O767" s="190"/>
    </row>
    <row r="768" spans="11:15">
      <c r="K768" s="190"/>
      <c r="L768" s="190"/>
      <c r="M768" s="190"/>
      <c r="N768" s="190"/>
      <c r="O768" s="190"/>
    </row>
    <row r="769" spans="11:15">
      <c r="K769" s="190"/>
      <c r="L769" s="190"/>
      <c r="M769" s="190"/>
      <c r="N769" s="190"/>
      <c r="O769" s="190"/>
    </row>
    <row r="770" spans="11:15">
      <c r="K770" s="190"/>
      <c r="L770" s="190"/>
      <c r="M770" s="190"/>
      <c r="N770" s="190"/>
      <c r="O770" s="190"/>
    </row>
    <row r="771" spans="11:15">
      <c r="K771" s="190"/>
      <c r="L771" s="190"/>
      <c r="M771" s="190"/>
      <c r="N771" s="190"/>
      <c r="O771" s="190"/>
    </row>
    <row r="772" spans="11:15">
      <c r="K772" s="190"/>
      <c r="L772" s="190"/>
      <c r="M772" s="190"/>
      <c r="N772" s="190"/>
      <c r="O772" s="190"/>
    </row>
    <row r="773" spans="11:15">
      <c r="K773" s="190"/>
      <c r="L773" s="190"/>
      <c r="M773" s="190"/>
      <c r="N773" s="190"/>
      <c r="O773" s="190"/>
    </row>
    <row r="774" spans="11:15">
      <c r="K774" s="190"/>
      <c r="L774" s="190"/>
      <c r="M774" s="190"/>
      <c r="N774" s="190"/>
      <c r="O774" s="190"/>
    </row>
    <row r="775" spans="11:15">
      <c r="K775" s="190"/>
      <c r="L775" s="190"/>
      <c r="M775" s="190"/>
      <c r="N775" s="190"/>
      <c r="O775" s="190"/>
    </row>
    <row r="776" spans="11:15">
      <c r="K776" s="190"/>
      <c r="L776" s="190"/>
      <c r="M776" s="190"/>
      <c r="N776" s="190"/>
      <c r="O776" s="190"/>
    </row>
    <row r="777" spans="11:15">
      <c r="K777" s="190"/>
      <c r="L777" s="190"/>
      <c r="M777" s="190"/>
      <c r="N777" s="190"/>
      <c r="O777" s="190"/>
    </row>
    <row r="778" spans="11:15">
      <c r="K778" s="190"/>
      <c r="L778" s="190"/>
      <c r="M778" s="190"/>
      <c r="N778" s="190"/>
      <c r="O778" s="190"/>
    </row>
    <row r="779" spans="11:15">
      <c r="K779" s="190"/>
      <c r="L779" s="190"/>
      <c r="M779" s="190"/>
      <c r="N779" s="190"/>
      <c r="O779" s="190"/>
    </row>
    <row r="780" spans="11:15">
      <c r="K780" s="190"/>
      <c r="L780" s="190"/>
      <c r="M780" s="190"/>
      <c r="N780" s="190"/>
      <c r="O780" s="190"/>
    </row>
    <row r="781" spans="11:15">
      <c r="K781" s="190"/>
      <c r="L781" s="190"/>
      <c r="M781" s="190"/>
      <c r="N781" s="190"/>
      <c r="O781" s="190"/>
    </row>
    <row r="782" spans="11:15">
      <c r="K782" s="190"/>
      <c r="L782" s="190"/>
      <c r="M782" s="190"/>
      <c r="N782" s="190"/>
      <c r="O782" s="190"/>
    </row>
    <row r="783" spans="11:15">
      <c r="K783" s="190"/>
      <c r="L783" s="190"/>
      <c r="M783" s="190"/>
      <c r="N783" s="190"/>
      <c r="O783" s="190"/>
    </row>
    <row r="784" spans="11:15">
      <c r="K784" s="190"/>
      <c r="L784" s="190"/>
      <c r="M784" s="190"/>
      <c r="N784" s="190"/>
      <c r="O784" s="190"/>
    </row>
    <row r="785" spans="11:15">
      <c r="K785" s="190"/>
      <c r="L785" s="190"/>
      <c r="M785" s="190"/>
      <c r="N785" s="190"/>
      <c r="O785" s="190"/>
    </row>
    <row r="786" spans="11:15">
      <c r="K786" s="190"/>
      <c r="L786" s="190"/>
      <c r="M786" s="190"/>
      <c r="N786" s="190"/>
      <c r="O786" s="190"/>
    </row>
    <row r="787" spans="11:15">
      <c r="K787" s="190"/>
      <c r="L787" s="190"/>
      <c r="M787" s="190"/>
      <c r="N787" s="190"/>
      <c r="O787" s="190"/>
    </row>
    <row r="788" spans="11:15">
      <c r="K788" s="190"/>
      <c r="L788" s="190"/>
      <c r="M788" s="190"/>
      <c r="N788" s="190"/>
      <c r="O788" s="190"/>
    </row>
    <row r="789" spans="11:15">
      <c r="K789" s="190"/>
      <c r="L789" s="190"/>
      <c r="M789" s="190"/>
      <c r="N789" s="190"/>
      <c r="O789" s="190"/>
    </row>
    <row r="790" spans="11:15">
      <c r="K790" s="190"/>
      <c r="L790" s="190"/>
      <c r="M790" s="190"/>
      <c r="N790" s="190"/>
      <c r="O790" s="190"/>
    </row>
    <row r="791" spans="11:15">
      <c r="K791" s="190"/>
      <c r="L791" s="190"/>
      <c r="M791" s="190"/>
      <c r="N791" s="190"/>
      <c r="O791" s="190"/>
    </row>
    <row r="792" spans="11:15">
      <c r="K792" s="190"/>
      <c r="L792" s="190"/>
      <c r="M792" s="190"/>
      <c r="N792" s="190"/>
      <c r="O792" s="190"/>
    </row>
    <row r="793" spans="11:15">
      <c r="K793" s="190"/>
      <c r="L793" s="190"/>
      <c r="M793" s="190"/>
      <c r="N793" s="190"/>
      <c r="O793" s="190"/>
    </row>
    <row r="794" spans="11:15">
      <c r="K794" s="190"/>
      <c r="L794" s="190"/>
      <c r="M794" s="190"/>
      <c r="N794" s="190"/>
      <c r="O794" s="190"/>
    </row>
    <row r="795" spans="11:15">
      <c r="K795" s="190"/>
      <c r="L795" s="190"/>
      <c r="M795" s="190"/>
      <c r="N795" s="190"/>
      <c r="O795" s="190"/>
    </row>
    <row r="796" spans="11:15">
      <c r="K796" s="190"/>
      <c r="L796" s="190"/>
      <c r="M796" s="190"/>
      <c r="N796" s="190"/>
      <c r="O796" s="190"/>
    </row>
    <row r="797" spans="11:15">
      <c r="K797" s="190"/>
      <c r="L797" s="190"/>
      <c r="M797" s="190"/>
      <c r="N797" s="190"/>
      <c r="O797" s="190"/>
    </row>
    <row r="798" spans="11:15">
      <c r="K798" s="190"/>
      <c r="L798" s="190"/>
      <c r="M798" s="190"/>
      <c r="N798" s="190"/>
      <c r="O798" s="190"/>
    </row>
    <row r="799" spans="11:15">
      <c r="K799" s="190"/>
      <c r="L799" s="190"/>
      <c r="M799" s="190"/>
      <c r="N799" s="190"/>
      <c r="O799" s="190"/>
    </row>
    <row r="800" spans="11:15">
      <c r="K800" s="190"/>
      <c r="L800" s="190"/>
      <c r="M800" s="190"/>
      <c r="N800" s="190"/>
      <c r="O800" s="190"/>
    </row>
    <row r="801" spans="11:15">
      <c r="K801" s="190"/>
      <c r="L801" s="190"/>
      <c r="M801" s="190"/>
      <c r="N801" s="190"/>
      <c r="O801" s="190"/>
    </row>
    <row r="802" spans="11:15">
      <c r="K802" s="190"/>
      <c r="L802" s="190"/>
      <c r="M802" s="190"/>
      <c r="N802" s="190"/>
      <c r="O802" s="190"/>
    </row>
    <row r="803" spans="11:15">
      <c r="K803" s="190"/>
      <c r="L803" s="190"/>
      <c r="M803" s="190"/>
      <c r="N803" s="190"/>
      <c r="O803" s="190"/>
    </row>
    <row r="804" spans="11:15">
      <c r="K804" s="190"/>
      <c r="L804" s="190"/>
      <c r="M804" s="190"/>
      <c r="N804" s="190"/>
      <c r="O804" s="190"/>
    </row>
    <row r="805" spans="11:15">
      <c r="K805" s="190"/>
      <c r="L805" s="190"/>
      <c r="M805" s="190"/>
      <c r="N805" s="190"/>
      <c r="O805" s="190"/>
    </row>
    <row r="806" spans="11:15">
      <c r="K806" s="190"/>
      <c r="L806" s="190"/>
      <c r="M806" s="190"/>
      <c r="N806" s="190"/>
      <c r="O806" s="190"/>
    </row>
    <row r="807" spans="11:15">
      <c r="K807" s="190"/>
      <c r="L807" s="190"/>
      <c r="M807" s="190"/>
      <c r="N807" s="190"/>
      <c r="O807" s="190"/>
    </row>
    <row r="808" spans="11:15">
      <c r="K808" s="190"/>
      <c r="L808" s="190"/>
      <c r="M808" s="190"/>
      <c r="N808" s="190"/>
      <c r="O808" s="190"/>
    </row>
    <row r="809" spans="11:15">
      <c r="K809" s="190"/>
      <c r="L809" s="190"/>
      <c r="M809" s="190"/>
      <c r="N809" s="190"/>
      <c r="O809" s="190"/>
    </row>
    <row r="810" spans="11:15">
      <c r="K810" s="190"/>
      <c r="L810" s="190"/>
      <c r="M810" s="190"/>
      <c r="N810" s="190"/>
      <c r="O810" s="190"/>
    </row>
    <row r="811" spans="11:15">
      <c r="K811" s="190"/>
      <c r="L811" s="190"/>
      <c r="M811" s="190"/>
      <c r="N811" s="190"/>
      <c r="O811" s="190"/>
    </row>
    <row r="812" spans="11:15">
      <c r="K812" s="190"/>
      <c r="L812" s="190"/>
      <c r="M812" s="190"/>
      <c r="N812" s="190"/>
      <c r="O812" s="190"/>
    </row>
    <row r="813" spans="11:15">
      <c r="K813" s="190"/>
      <c r="L813" s="190"/>
      <c r="M813" s="190"/>
      <c r="N813" s="190"/>
      <c r="O813" s="190"/>
    </row>
    <row r="814" spans="11:15">
      <c r="K814" s="190"/>
      <c r="L814" s="190"/>
      <c r="M814" s="190"/>
      <c r="N814" s="190"/>
      <c r="O814" s="190"/>
    </row>
    <row r="815" spans="11:15">
      <c r="K815" s="190"/>
      <c r="L815" s="190"/>
      <c r="M815" s="190"/>
      <c r="N815" s="190"/>
      <c r="O815" s="190"/>
    </row>
    <row r="816" spans="11:15">
      <c r="K816" s="190"/>
      <c r="L816" s="190"/>
      <c r="M816" s="190"/>
      <c r="N816" s="190"/>
      <c r="O816" s="190"/>
    </row>
    <row r="817" spans="11:15">
      <c r="K817" s="190"/>
      <c r="L817" s="190"/>
      <c r="M817" s="190"/>
      <c r="N817" s="190"/>
      <c r="O817" s="190"/>
    </row>
    <row r="818" spans="11:15">
      <c r="K818" s="190"/>
      <c r="L818" s="190"/>
      <c r="M818" s="190"/>
      <c r="N818" s="190"/>
      <c r="O818" s="190"/>
    </row>
    <row r="819" spans="11:15">
      <c r="K819" s="190"/>
      <c r="L819" s="190"/>
      <c r="M819" s="190"/>
      <c r="N819" s="190"/>
      <c r="O819" s="190"/>
    </row>
    <row r="820" spans="11:15">
      <c r="K820" s="190"/>
      <c r="L820" s="190"/>
      <c r="M820" s="190"/>
      <c r="N820" s="190"/>
      <c r="O820" s="190"/>
    </row>
    <row r="821" spans="11:15">
      <c r="K821" s="190"/>
      <c r="L821" s="190"/>
      <c r="M821" s="190"/>
      <c r="N821" s="190"/>
      <c r="O821" s="190"/>
    </row>
    <row r="822" spans="11:15">
      <c r="K822" s="190"/>
      <c r="L822" s="190"/>
      <c r="M822" s="190"/>
      <c r="N822" s="190"/>
      <c r="O822" s="190"/>
    </row>
    <row r="823" spans="11:15">
      <c r="K823" s="190"/>
      <c r="L823" s="190"/>
      <c r="M823" s="190"/>
      <c r="N823" s="190"/>
      <c r="O823" s="190"/>
    </row>
    <row r="824" spans="11:15">
      <c r="K824" s="190"/>
      <c r="L824" s="190"/>
      <c r="M824" s="190"/>
      <c r="N824" s="190"/>
      <c r="O824" s="190"/>
    </row>
    <row r="825" spans="11:15">
      <c r="K825" s="190"/>
      <c r="L825" s="190"/>
      <c r="M825" s="190"/>
      <c r="N825" s="190"/>
      <c r="O825" s="190"/>
    </row>
    <row r="826" spans="11:15">
      <c r="K826" s="190"/>
      <c r="L826" s="190"/>
      <c r="M826" s="190"/>
      <c r="N826" s="190"/>
      <c r="O826" s="190"/>
    </row>
    <row r="827" spans="11:15">
      <c r="K827" s="190"/>
      <c r="L827" s="190"/>
      <c r="M827" s="190"/>
      <c r="N827" s="190"/>
      <c r="O827" s="190"/>
    </row>
    <row r="828" spans="11:15">
      <c r="K828" s="190"/>
      <c r="L828" s="190"/>
      <c r="M828" s="190"/>
      <c r="N828" s="190"/>
      <c r="O828" s="190"/>
    </row>
    <row r="829" spans="11:15">
      <c r="K829" s="190"/>
      <c r="L829" s="190"/>
      <c r="M829" s="190"/>
      <c r="N829" s="190"/>
      <c r="O829" s="190"/>
    </row>
    <row r="830" spans="11:15">
      <c r="K830" s="190"/>
      <c r="L830" s="190"/>
      <c r="M830" s="190"/>
      <c r="N830" s="190"/>
      <c r="O830" s="190"/>
    </row>
    <row r="831" spans="11:15">
      <c r="K831" s="190"/>
      <c r="L831" s="190"/>
      <c r="M831" s="190"/>
      <c r="N831" s="190"/>
      <c r="O831" s="190"/>
    </row>
    <row r="832" spans="11:15">
      <c r="K832" s="190"/>
      <c r="L832" s="190"/>
      <c r="M832" s="190"/>
      <c r="N832" s="190"/>
      <c r="O832" s="190"/>
    </row>
    <row r="833" spans="11:15">
      <c r="K833" s="190"/>
      <c r="L833" s="190"/>
      <c r="M833" s="190"/>
      <c r="N833" s="190"/>
      <c r="O833" s="190"/>
    </row>
    <row r="834" spans="11:15">
      <c r="K834" s="190"/>
      <c r="L834" s="190"/>
      <c r="M834" s="190"/>
      <c r="N834" s="190"/>
      <c r="O834" s="190"/>
    </row>
    <row r="835" spans="11:15">
      <c r="K835" s="190"/>
      <c r="L835" s="190"/>
      <c r="M835" s="190"/>
      <c r="N835" s="190"/>
      <c r="O835" s="190"/>
    </row>
    <row r="836" spans="11:15">
      <c r="K836" s="190"/>
      <c r="L836" s="190"/>
      <c r="M836" s="190"/>
      <c r="N836" s="190"/>
      <c r="O836" s="190"/>
    </row>
    <row r="837" spans="11:15">
      <c r="K837" s="190"/>
      <c r="L837" s="190"/>
      <c r="M837" s="190"/>
      <c r="N837" s="190"/>
      <c r="O837" s="190"/>
    </row>
    <row r="838" spans="11:15">
      <c r="K838" s="190"/>
      <c r="L838" s="190"/>
      <c r="M838" s="190"/>
      <c r="N838" s="190"/>
      <c r="O838" s="190"/>
    </row>
    <row r="839" spans="11:15">
      <c r="K839" s="190"/>
      <c r="L839" s="190"/>
      <c r="M839" s="190"/>
      <c r="N839" s="190"/>
      <c r="O839" s="190"/>
    </row>
    <row r="840" spans="11:15">
      <c r="K840" s="190"/>
      <c r="L840" s="190"/>
      <c r="M840" s="190"/>
      <c r="N840" s="190"/>
      <c r="O840" s="190"/>
    </row>
    <row r="841" spans="11:15">
      <c r="K841" s="190"/>
      <c r="L841" s="190"/>
      <c r="M841" s="190"/>
      <c r="N841" s="190"/>
      <c r="O841" s="190"/>
    </row>
    <row r="842" spans="11:15">
      <c r="K842" s="190"/>
      <c r="L842" s="190"/>
      <c r="M842" s="190"/>
      <c r="N842" s="190"/>
      <c r="O842" s="190"/>
    </row>
    <row r="843" spans="11:15">
      <c r="K843" s="190"/>
      <c r="L843" s="190"/>
      <c r="M843" s="190"/>
      <c r="N843" s="190"/>
      <c r="O843" s="190"/>
    </row>
    <row r="844" spans="11:15">
      <c r="K844" s="190"/>
      <c r="L844" s="190"/>
      <c r="M844" s="190"/>
      <c r="N844" s="190"/>
      <c r="O844" s="190"/>
    </row>
    <row r="845" spans="11:15">
      <c r="K845" s="190"/>
      <c r="L845" s="190"/>
      <c r="M845" s="190"/>
      <c r="N845" s="190"/>
      <c r="O845" s="190"/>
    </row>
    <row r="846" spans="11:15">
      <c r="K846" s="190"/>
      <c r="L846" s="190"/>
      <c r="M846" s="190"/>
      <c r="N846" s="190"/>
      <c r="O846" s="190"/>
    </row>
    <row r="847" spans="11:15">
      <c r="K847" s="190"/>
      <c r="L847" s="190"/>
      <c r="M847" s="190"/>
      <c r="N847" s="190"/>
      <c r="O847" s="190"/>
    </row>
    <row r="848" spans="11:15">
      <c r="K848" s="190"/>
      <c r="L848" s="190"/>
      <c r="M848" s="190"/>
      <c r="N848" s="190"/>
      <c r="O848" s="190"/>
    </row>
    <row r="849" spans="11:15">
      <c r="K849" s="190"/>
      <c r="L849" s="190"/>
      <c r="M849" s="190"/>
      <c r="N849" s="190"/>
      <c r="O849" s="190"/>
    </row>
    <row r="850" spans="11:15">
      <c r="K850" s="190"/>
      <c r="L850" s="190"/>
      <c r="M850" s="190"/>
      <c r="N850" s="190"/>
      <c r="O850" s="190"/>
    </row>
    <row r="851" spans="11:15">
      <c r="K851" s="190"/>
      <c r="L851" s="190"/>
      <c r="M851" s="190"/>
      <c r="N851" s="190"/>
      <c r="O851" s="190"/>
    </row>
    <row r="852" spans="11:15">
      <c r="K852" s="190"/>
      <c r="L852" s="190"/>
      <c r="M852" s="190"/>
      <c r="N852" s="190"/>
      <c r="O852" s="190"/>
    </row>
    <row r="853" spans="11:15">
      <c r="K853" s="190"/>
      <c r="L853" s="190"/>
      <c r="M853" s="190"/>
      <c r="N853" s="190"/>
      <c r="O853" s="190"/>
    </row>
    <row r="854" spans="11:15">
      <c r="K854" s="190"/>
      <c r="L854" s="190"/>
      <c r="M854" s="190"/>
      <c r="N854" s="190"/>
      <c r="O854" s="190"/>
    </row>
    <row r="855" spans="11:15">
      <c r="K855" s="190"/>
      <c r="L855" s="190"/>
      <c r="M855" s="190"/>
      <c r="N855" s="190"/>
      <c r="O855" s="190"/>
    </row>
    <row r="856" spans="11:15">
      <c r="K856" s="190"/>
      <c r="L856" s="190"/>
      <c r="M856" s="190"/>
      <c r="N856" s="190"/>
      <c r="O856" s="190"/>
    </row>
    <row r="857" spans="11:15">
      <c r="K857" s="190"/>
      <c r="L857" s="190"/>
      <c r="M857" s="190"/>
      <c r="N857" s="190"/>
      <c r="O857" s="190"/>
    </row>
    <row r="858" spans="11:15">
      <c r="K858" s="190"/>
      <c r="L858" s="190"/>
      <c r="M858" s="190"/>
      <c r="N858" s="190"/>
      <c r="O858" s="190"/>
    </row>
    <row r="859" spans="11:15">
      <c r="K859" s="190"/>
      <c r="L859" s="190"/>
      <c r="M859" s="190"/>
      <c r="N859" s="190"/>
      <c r="O859" s="190"/>
    </row>
    <row r="860" spans="11:15">
      <c r="K860" s="190"/>
      <c r="L860" s="190"/>
      <c r="M860" s="190"/>
      <c r="N860" s="190"/>
      <c r="O860" s="190"/>
    </row>
    <row r="861" spans="11:15">
      <c r="K861" s="190"/>
      <c r="L861" s="190"/>
      <c r="M861" s="190"/>
      <c r="N861" s="190"/>
      <c r="O861" s="190"/>
    </row>
    <row r="862" spans="11:15">
      <c r="K862" s="190"/>
      <c r="L862" s="190"/>
      <c r="M862" s="190"/>
      <c r="N862" s="190"/>
      <c r="O862" s="190"/>
    </row>
    <row r="863" spans="11:15">
      <c r="K863" s="190"/>
      <c r="L863" s="190"/>
      <c r="M863" s="190"/>
      <c r="N863" s="190"/>
      <c r="O863" s="190"/>
    </row>
    <row r="864" spans="11:15">
      <c r="K864" s="190"/>
      <c r="L864" s="190"/>
      <c r="M864" s="190"/>
      <c r="N864" s="190"/>
      <c r="O864" s="190"/>
    </row>
    <row r="865" spans="11:15">
      <c r="K865" s="190"/>
      <c r="L865" s="190"/>
      <c r="M865" s="190"/>
      <c r="N865" s="190"/>
      <c r="O865" s="190"/>
    </row>
    <row r="866" spans="11:15">
      <c r="K866" s="190"/>
      <c r="L866" s="190"/>
      <c r="M866" s="190"/>
      <c r="N866" s="190"/>
      <c r="O866" s="190"/>
    </row>
    <row r="867" spans="11:15">
      <c r="K867" s="190"/>
      <c r="L867" s="190"/>
      <c r="M867" s="190"/>
      <c r="N867" s="190"/>
      <c r="O867" s="190"/>
    </row>
    <row r="868" spans="11:15">
      <c r="K868" s="190"/>
      <c r="L868" s="190"/>
      <c r="M868" s="190"/>
      <c r="N868" s="190"/>
      <c r="O868" s="190"/>
    </row>
    <row r="869" spans="11:15">
      <c r="K869" s="190"/>
      <c r="L869" s="190"/>
      <c r="M869" s="190"/>
      <c r="N869" s="190"/>
      <c r="O869" s="190"/>
    </row>
    <row r="870" spans="11:15">
      <c r="K870" s="190"/>
      <c r="L870" s="190"/>
      <c r="M870" s="190"/>
      <c r="N870" s="190"/>
      <c r="O870" s="190"/>
    </row>
    <row r="871" spans="11:15">
      <c r="K871" s="190"/>
      <c r="L871" s="190"/>
      <c r="M871" s="190"/>
      <c r="N871" s="190"/>
      <c r="O871" s="190"/>
    </row>
    <row r="872" spans="11:15">
      <c r="K872" s="190"/>
      <c r="L872" s="190"/>
      <c r="M872" s="190"/>
      <c r="N872" s="190"/>
      <c r="O872" s="190"/>
    </row>
    <row r="873" spans="11:15">
      <c r="K873" s="190"/>
      <c r="L873" s="190"/>
      <c r="M873" s="190"/>
      <c r="N873" s="190"/>
      <c r="O873" s="190"/>
    </row>
    <row r="874" spans="11:15">
      <c r="K874" s="190"/>
      <c r="L874" s="190"/>
      <c r="M874" s="190"/>
      <c r="N874" s="190"/>
      <c r="O874" s="190"/>
    </row>
    <row r="875" spans="11:15">
      <c r="K875" s="190"/>
      <c r="L875" s="190"/>
      <c r="M875" s="190"/>
      <c r="N875" s="190"/>
      <c r="O875" s="190"/>
    </row>
    <row r="876" spans="11:15">
      <c r="K876" s="190"/>
      <c r="L876" s="190"/>
      <c r="M876" s="190"/>
      <c r="N876" s="190"/>
      <c r="O876" s="190"/>
    </row>
    <row r="877" spans="11:15">
      <c r="K877" s="190"/>
      <c r="L877" s="190"/>
      <c r="M877" s="190"/>
      <c r="N877" s="190"/>
      <c r="O877" s="190"/>
    </row>
    <row r="878" spans="11:15">
      <c r="K878" s="190"/>
      <c r="L878" s="190"/>
      <c r="M878" s="190"/>
      <c r="N878" s="190"/>
      <c r="O878" s="190"/>
    </row>
    <row r="879" spans="11:15">
      <c r="K879" s="190"/>
      <c r="L879" s="190"/>
      <c r="M879" s="190"/>
      <c r="N879" s="190"/>
      <c r="O879" s="190"/>
    </row>
    <row r="880" spans="11:15">
      <c r="K880" s="190"/>
      <c r="L880" s="190"/>
      <c r="M880" s="190"/>
      <c r="N880" s="190"/>
      <c r="O880" s="190"/>
    </row>
    <row r="881" spans="11:15">
      <c r="K881" s="190"/>
      <c r="L881" s="190"/>
      <c r="M881" s="190"/>
      <c r="N881" s="190"/>
      <c r="O881" s="190"/>
    </row>
    <row r="882" spans="11:15">
      <c r="K882" s="190"/>
      <c r="L882" s="190"/>
      <c r="M882" s="190"/>
      <c r="N882" s="190"/>
      <c r="O882" s="190"/>
    </row>
    <row r="883" spans="11:15">
      <c r="K883" s="190"/>
      <c r="L883" s="190"/>
      <c r="M883" s="190"/>
      <c r="N883" s="190"/>
      <c r="O883" s="190"/>
    </row>
    <row r="884" spans="11:15">
      <c r="K884" s="190"/>
      <c r="L884" s="190"/>
      <c r="M884" s="190"/>
      <c r="N884" s="190"/>
      <c r="O884" s="190"/>
    </row>
    <row r="885" spans="11:15">
      <c r="K885" s="190"/>
      <c r="L885" s="190"/>
      <c r="M885" s="190"/>
      <c r="N885" s="190"/>
      <c r="O885" s="190"/>
    </row>
    <row r="886" spans="11:15">
      <c r="K886" s="190"/>
      <c r="L886" s="190"/>
      <c r="M886" s="190"/>
      <c r="N886" s="190"/>
      <c r="O886" s="190"/>
    </row>
    <row r="887" spans="11:15">
      <c r="K887" s="190"/>
      <c r="L887" s="190"/>
      <c r="M887" s="190"/>
      <c r="N887" s="190"/>
      <c r="O887" s="190"/>
    </row>
    <row r="888" spans="11:15">
      <c r="K888" s="190"/>
      <c r="L888" s="190"/>
      <c r="M888" s="190"/>
      <c r="N888" s="190"/>
      <c r="O888" s="190"/>
    </row>
    <row r="889" spans="11:15">
      <c r="K889" s="190"/>
      <c r="L889" s="190"/>
      <c r="M889" s="190"/>
      <c r="N889" s="190"/>
      <c r="O889" s="190"/>
    </row>
    <row r="890" spans="11:15">
      <c r="K890" s="190"/>
      <c r="L890" s="190"/>
      <c r="M890" s="190"/>
      <c r="N890" s="190"/>
      <c r="O890" s="190"/>
    </row>
    <row r="891" spans="11:15">
      <c r="K891" s="190"/>
      <c r="L891" s="190"/>
      <c r="M891" s="190"/>
      <c r="N891" s="190"/>
      <c r="O891" s="190"/>
    </row>
    <row r="892" spans="11:15">
      <c r="K892" s="190"/>
      <c r="L892" s="190"/>
      <c r="M892" s="190"/>
      <c r="N892" s="190"/>
      <c r="O892" s="190"/>
    </row>
    <row r="893" spans="11:15">
      <c r="K893" s="190"/>
      <c r="L893" s="190"/>
      <c r="M893" s="190"/>
      <c r="N893" s="190"/>
      <c r="O893" s="190"/>
    </row>
    <row r="894" spans="11:15">
      <c r="K894" s="190"/>
      <c r="L894" s="190"/>
      <c r="M894" s="190"/>
      <c r="N894" s="190"/>
      <c r="O894" s="190"/>
    </row>
    <row r="895" spans="11:15">
      <c r="K895" s="190"/>
      <c r="L895" s="190"/>
      <c r="M895" s="190"/>
      <c r="N895" s="190"/>
      <c r="O895" s="190"/>
    </row>
    <row r="896" spans="11:15">
      <c r="K896" s="190"/>
      <c r="L896" s="190"/>
      <c r="M896" s="190"/>
      <c r="N896" s="190"/>
      <c r="O896" s="190"/>
    </row>
    <row r="897" spans="11:15">
      <c r="K897" s="190"/>
      <c r="L897" s="190"/>
      <c r="M897" s="190"/>
      <c r="N897" s="190"/>
      <c r="O897" s="190"/>
    </row>
    <row r="898" spans="11:15">
      <c r="K898" s="190"/>
      <c r="L898" s="190"/>
      <c r="M898" s="190"/>
      <c r="N898" s="190"/>
      <c r="O898" s="190"/>
    </row>
    <row r="899" spans="11:15">
      <c r="K899" s="190"/>
      <c r="L899" s="190"/>
      <c r="M899" s="190"/>
      <c r="N899" s="190"/>
      <c r="O899" s="190"/>
    </row>
    <row r="900" spans="11:15">
      <c r="K900" s="190"/>
      <c r="L900" s="190"/>
      <c r="M900" s="190"/>
      <c r="N900" s="190"/>
      <c r="O900" s="190"/>
    </row>
    <row r="901" spans="11:15">
      <c r="K901" s="190"/>
      <c r="L901" s="190"/>
      <c r="M901" s="190"/>
      <c r="N901" s="190"/>
      <c r="O901" s="190"/>
    </row>
    <row r="902" spans="11:15">
      <c r="K902" s="190"/>
      <c r="L902" s="190"/>
      <c r="M902" s="190"/>
      <c r="N902" s="190"/>
      <c r="O902" s="190"/>
    </row>
    <row r="903" spans="11:15">
      <c r="K903" s="190"/>
      <c r="L903" s="190"/>
      <c r="M903" s="190"/>
      <c r="N903" s="190"/>
      <c r="O903" s="190"/>
    </row>
    <row r="904" spans="11:15">
      <c r="K904" s="190"/>
      <c r="L904" s="190"/>
      <c r="M904" s="190"/>
      <c r="N904" s="190"/>
      <c r="O904" s="190"/>
    </row>
    <row r="905" spans="11:15">
      <c r="K905" s="190"/>
      <c r="L905" s="190"/>
      <c r="M905" s="190"/>
      <c r="N905" s="190"/>
      <c r="O905" s="190"/>
    </row>
    <row r="906" spans="11:15">
      <c r="K906" s="190"/>
      <c r="L906" s="190"/>
      <c r="M906" s="190"/>
      <c r="N906" s="190"/>
      <c r="O906" s="190"/>
    </row>
    <row r="907" spans="11:15">
      <c r="K907" s="190"/>
      <c r="L907" s="190"/>
      <c r="M907" s="190"/>
      <c r="N907" s="190"/>
      <c r="O907" s="190"/>
    </row>
    <row r="908" spans="11:15">
      <c r="K908" s="190"/>
      <c r="L908" s="190"/>
      <c r="M908" s="190"/>
      <c r="N908" s="190"/>
      <c r="O908" s="190"/>
    </row>
    <row r="909" spans="11:15">
      <c r="K909" s="190"/>
      <c r="L909" s="190"/>
      <c r="M909" s="190"/>
      <c r="N909" s="190"/>
      <c r="O909" s="190"/>
    </row>
    <row r="910" spans="11:15">
      <c r="K910" s="190"/>
      <c r="L910" s="190"/>
      <c r="M910" s="190"/>
      <c r="N910" s="190"/>
      <c r="O910" s="190"/>
    </row>
    <row r="911" spans="11:15">
      <c r="K911" s="190"/>
      <c r="L911" s="190"/>
      <c r="M911" s="190"/>
      <c r="N911" s="190"/>
      <c r="O911" s="190"/>
    </row>
    <row r="912" spans="11:15">
      <c r="K912" s="190"/>
      <c r="L912" s="190"/>
      <c r="M912" s="190"/>
      <c r="N912" s="190"/>
      <c r="O912" s="190"/>
    </row>
    <row r="913" spans="11:15">
      <c r="K913" s="190"/>
      <c r="L913" s="190"/>
      <c r="M913" s="190"/>
      <c r="N913" s="190"/>
      <c r="O913" s="190"/>
    </row>
    <row r="914" spans="11:15">
      <c r="K914" s="190"/>
      <c r="L914" s="190"/>
      <c r="M914" s="190"/>
      <c r="N914" s="190"/>
      <c r="O914" s="190"/>
    </row>
    <row r="915" spans="11:15">
      <c r="K915" s="190"/>
      <c r="L915" s="190"/>
      <c r="M915" s="190"/>
      <c r="N915" s="190"/>
      <c r="O915" s="190"/>
    </row>
    <row r="916" spans="11:15">
      <c r="K916" s="190"/>
      <c r="L916" s="190"/>
      <c r="M916" s="190"/>
      <c r="N916" s="190"/>
      <c r="O916" s="190"/>
    </row>
    <row r="917" spans="11:15">
      <c r="K917" s="190"/>
      <c r="L917" s="190"/>
      <c r="M917" s="190"/>
      <c r="N917" s="190"/>
      <c r="O917" s="190"/>
    </row>
    <row r="918" spans="11:15">
      <c r="K918" s="190"/>
      <c r="L918" s="190"/>
      <c r="M918" s="190"/>
      <c r="N918" s="190"/>
      <c r="O918" s="190"/>
    </row>
    <row r="919" spans="11:15">
      <c r="K919" s="190"/>
      <c r="L919" s="190"/>
      <c r="M919" s="190"/>
      <c r="N919" s="190"/>
      <c r="O919" s="190"/>
    </row>
    <row r="920" spans="11:15">
      <c r="K920" s="190"/>
      <c r="L920" s="190"/>
      <c r="M920" s="190"/>
      <c r="N920" s="190"/>
      <c r="O920" s="190"/>
    </row>
    <row r="921" spans="11:15">
      <c r="K921" s="190"/>
      <c r="L921" s="190"/>
      <c r="M921" s="190"/>
      <c r="N921" s="190"/>
      <c r="O921" s="190"/>
    </row>
    <row r="922" spans="11:15">
      <c r="K922" s="190"/>
      <c r="L922" s="190"/>
      <c r="M922" s="190"/>
      <c r="N922" s="190"/>
      <c r="O922" s="190"/>
    </row>
    <row r="923" spans="11:15">
      <c r="K923" s="190"/>
      <c r="L923" s="190"/>
      <c r="M923" s="190"/>
      <c r="N923" s="190"/>
      <c r="O923" s="190"/>
    </row>
    <row r="924" spans="11:15">
      <c r="K924" s="190"/>
      <c r="L924" s="190"/>
      <c r="M924" s="190"/>
      <c r="N924" s="190"/>
      <c r="O924" s="190"/>
    </row>
    <row r="925" spans="11:15">
      <c r="K925" s="190"/>
      <c r="L925" s="190"/>
      <c r="M925" s="190"/>
      <c r="N925" s="190"/>
      <c r="O925" s="190"/>
    </row>
    <row r="926" spans="11:15">
      <c r="K926" s="190"/>
      <c r="L926" s="190"/>
      <c r="M926" s="190"/>
      <c r="N926" s="190"/>
      <c r="O926" s="190"/>
    </row>
    <row r="927" spans="11:15">
      <c r="K927" s="190"/>
      <c r="L927" s="190"/>
      <c r="M927" s="190"/>
      <c r="N927" s="190"/>
      <c r="O927" s="190"/>
    </row>
    <row r="928" spans="11:15">
      <c r="K928" s="190"/>
      <c r="L928" s="190"/>
      <c r="M928" s="190"/>
      <c r="N928" s="190"/>
      <c r="O928" s="190"/>
    </row>
    <row r="929" spans="11:15">
      <c r="K929" s="190"/>
      <c r="L929" s="190"/>
      <c r="M929" s="190"/>
      <c r="N929" s="190"/>
      <c r="O929" s="190"/>
    </row>
    <row r="930" spans="11:15">
      <c r="K930" s="190"/>
      <c r="L930" s="190"/>
      <c r="M930" s="190"/>
      <c r="N930" s="190"/>
      <c r="O930" s="190"/>
    </row>
    <row r="931" spans="11:15">
      <c r="K931" s="190"/>
      <c r="L931" s="190"/>
      <c r="M931" s="190"/>
      <c r="N931" s="190"/>
      <c r="O931" s="190"/>
    </row>
    <row r="932" spans="11:15">
      <c r="K932" s="190"/>
      <c r="L932" s="190"/>
      <c r="M932" s="190"/>
      <c r="N932" s="190"/>
      <c r="O932" s="190"/>
    </row>
    <row r="933" spans="11:15">
      <c r="K933" s="190"/>
      <c r="L933" s="190"/>
      <c r="M933" s="190"/>
      <c r="N933" s="190"/>
      <c r="O933" s="190"/>
    </row>
    <row r="934" spans="11:15">
      <c r="K934" s="190"/>
      <c r="L934" s="190"/>
      <c r="M934" s="190"/>
      <c r="N934" s="190"/>
      <c r="O934" s="190"/>
    </row>
    <row r="935" spans="11:15">
      <c r="K935" s="190"/>
      <c r="L935" s="190"/>
      <c r="M935" s="190"/>
      <c r="N935" s="190"/>
      <c r="O935" s="190"/>
    </row>
    <row r="936" spans="11:15">
      <c r="K936" s="190"/>
      <c r="L936" s="190"/>
      <c r="M936" s="190"/>
      <c r="N936" s="190"/>
      <c r="O936" s="190"/>
    </row>
    <row r="937" spans="11:15">
      <c r="K937" s="190"/>
      <c r="L937" s="190"/>
      <c r="M937" s="190"/>
      <c r="N937" s="190"/>
      <c r="O937" s="190"/>
    </row>
    <row r="938" spans="11:15">
      <c r="K938" s="190"/>
      <c r="L938" s="190"/>
      <c r="M938" s="190"/>
      <c r="N938" s="190"/>
      <c r="O938" s="190"/>
    </row>
    <row r="939" spans="11:15">
      <c r="K939" s="190"/>
      <c r="L939" s="190"/>
      <c r="M939" s="190"/>
      <c r="N939" s="190"/>
      <c r="O939" s="190"/>
    </row>
    <row r="940" spans="11:15">
      <c r="K940" s="190"/>
      <c r="L940" s="190"/>
      <c r="M940" s="190"/>
      <c r="N940" s="190"/>
      <c r="O940" s="190"/>
    </row>
    <row r="941" spans="11:15">
      <c r="K941" s="190"/>
      <c r="L941" s="190"/>
      <c r="M941" s="190"/>
      <c r="N941" s="190"/>
      <c r="O941" s="190"/>
    </row>
    <row r="942" spans="11:15">
      <c r="K942" s="190"/>
      <c r="L942" s="190"/>
      <c r="M942" s="190"/>
      <c r="N942" s="190"/>
      <c r="O942" s="190"/>
    </row>
    <row r="943" spans="11:15">
      <c r="K943" s="190"/>
      <c r="L943" s="190"/>
      <c r="M943" s="190"/>
      <c r="N943" s="190"/>
      <c r="O943" s="190"/>
    </row>
    <row r="944" spans="11:15">
      <c r="K944" s="190"/>
      <c r="L944" s="190"/>
      <c r="M944" s="190"/>
      <c r="N944" s="190"/>
      <c r="O944" s="190"/>
    </row>
    <row r="945" spans="11:15">
      <c r="K945" s="190"/>
      <c r="L945" s="190"/>
      <c r="M945" s="190"/>
      <c r="N945" s="190"/>
      <c r="O945" s="190"/>
    </row>
    <row r="946" spans="11:15">
      <c r="K946" s="190"/>
      <c r="L946" s="190"/>
      <c r="M946" s="190"/>
      <c r="N946" s="190"/>
      <c r="O946" s="190"/>
    </row>
    <row r="947" spans="11:15">
      <c r="K947" s="190"/>
      <c r="L947" s="190"/>
      <c r="M947" s="190"/>
      <c r="N947" s="190"/>
      <c r="O947" s="190"/>
    </row>
    <row r="948" spans="11:15">
      <c r="K948" s="190"/>
      <c r="L948" s="190"/>
      <c r="M948" s="190"/>
      <c r="N948" s="190"/>
      <c r="O948" s="190"/>
    </row>
    <row r="949" spans="11:15">
      <c r="K949" s="190"/>
      <c r="L949" s="190"/>
      <c r="M949" s="190"/>
      <c r="N949" s="190"/>
      <c r="O949" s="190"/>
    </row>
    <row r="950" spans="11:15">
      <c r="K950" s="190"/>
      <c r="L950" s="190"/>
      <c r="M950" s="190"/>
      <c r="N950" s="190"/>
      <c r="O950" s="190"/>
    </row>
    <row r="951" spans="11:15">
      <c r="K951" s="190"/>
      <c r="L951" s="190"/>
      <c r="M951" s="190"/>
      <c r="N951" s="190"/>
      <c r="O951" s="190"/>
    </row>
    <row r="952" spans="11:15">
      <c r="K952" s="190"/>
      <c r="L952" s="190"/>
      <c r="M952" s="190"/>
      <c r="N952" s="190"/>
      <c r="O952" s="190"/>
    </row>
    <row r="953" spans="11:15">
      <c r="K953" s="190"/>
      <c r="L953" s="190"/>
      <c r="M953" s="190"/>
      <c r="N953" s="190"/>
      <c r="O953" s="190"/>
    </row>
    <row r="954" spans="11:15">
      <c r="K954" s="190"/>
      <c r="L954" s="190"/>
      <c r="M954" s="190"/>
      <c r="N954" s="190"/>
      <c r="O954" s="190"/>
    </row>
    <row r="955" spans="11:15">
      <c r="K955" s="190"/>
      <c r="L955" s="190"/>
      <c r="M955" s="190"/>
      <c r="N955" s="190"/>
      <c r="O955" s="190"/>
    </row>
    <row r="956" spans="11:15">
      <c r="K956" s="190"/>
      <c r="L956" s="190"/>
      <c r="M956" s="190"/>
      <c r="N956" s="190"/>
      <c r="O956" s="190"/>
    </row>
    <row r="957" spans="11:15">
      <c r="K957" s="190"/>
      <c r="L957" s="190"/>
      <c r="M957" s="190"/>
      <c r="N957" s="190"/>
      <c r="O957" s="190"/>
    </row>
    <row r="958" spans="11:15">
      <c r="K958" s="190"/>
      <c r="L958" s="190"/>
      <c r="M958" s="190"/>
      <c r="N958" s="190"/>
      <c r="O958" s="190"/>
    </row>
    <row r="959" spans="11:15">
      <c r="K959" s="190"/>
      <c r="L959" s="190"/>
      <c r="M959" s="190"/>
      <c r="N959" s="190"/>
      <c r="O959" s="190"/>
    </row>
    <row r="960" spans="11:15">
      <c r="K960" s="190"/>
      <c r="L960" s="190"/>
      <c r="M960" s="190"/>
      <c r="N960" s="190"/>
      <c r="O960" s="190"/>
    </row>
    <row r="961" spans="11:15">
      <c r="K961" s="190"/>
      <c r="L961" s="190"/>
      <c r="M961" s="190"/>
      <c r="N961" s="190"/>
      <c r="O961" s="190"/>
    </row>
    <row r="962" spans="11:15">
      <c r="K962" s="190"/>
      <c r="L962" s="190"/>
      <c r="M962" s="190"/>
      <c r="N962" s="190"/>
      <c r="O962" s="190"/>
    </row>
    <row r="963" spans="11:15">
      <c r="K963" s="190"/>
      <c r="L963" s="190"/>
      <c r="M963" s="190"/>
      <c r="N963" s="190"/>
      <c r="O963" s="190"/>
    </row>
    <row r="964" spans="11:15">
      <c r="K964" s="190"/>
      <c r="L964" s="190"/>
      <c r="M964" s="190"/>
      <c r="N964" s="190"/>
      <c r="O964" s="190"/>
    </row>
    <row r="965" spans="11:15">
      <c r="K965" s="190"/>
      <c r="L965" s="190"/>
      <c r="M965" s="190"/>
      <c r="N965" s="190"/>
      <c r="O965" s="190"/>
    </row>
    <row r="966" spans="11:15">
      <c r="K966" s="190"/>
      <c r="L966" s="190"/>
      <c r="M966" s="190"/>
      <c r="N966" s="190"/>
      <c r="O966" s="190"/>
    </row>
    <row r="967" spans="11:15">
      <c r="K967" s="190"/>
      <c r="L967" s="190"/>
      <c r="M967" s="190"/>
      <c r="N967" s="190"/>
      <c r="O967" s="190"/>
    </row>
    <row r="968" spans="11:15">
      <c r="K968" s="190"/>
      <c r="L968" s="190"/>
      <c r="M968" s="190"/>
      <c r="N968" s="190"/>
      <c r="O968" s="190"/>
    </row>
    <row r="969" spans="11:15">
      <c r="K969" s="190"/>
      <c r="L969" s="190"/>
      <c r="M969" s="190"/>
      <c r="N969" s="190"/>
      <c r="O969" s="190"/>
    </row>
    <row r="970" spans="11:15">
      <c r="K970" s="190"/>
      <c r="L970" s="190"/>
      <c r="M970" s="190"/>
      <c r="N970" s="190"/>
      <c r="O970" s="190"/>
    </row>
    <row r="971" spans="11:15">
      <c r="K971" s="190"/>
      <c r="L971" s="190"/>
      <c r="M971" s="190"/>
      <c r="N971" s="190"/>
      <c r="O971" s="190"/>
    </row>
    <row r="972" spans="11:15">
      <c r="K972" s="190"/>
      <c r="L972" s="190"/>
      <c r="M972" s="190"/>
      <c r="N972" s="190"/>
      <c r="O972" s="190"/>
    </row>
    <row r="973" spans="11:15">
      <c r="K973" s="190"/>
      <c r="L973" s="190"/>
      <c r="M973" s="190"/>
      <c r="N973" s="190"/>
      <c r="O973" s="190"/>
    </row>
    <row r="974" spans="11:15">
      <c r="K974" s="190"/>
      <c r="L974" s="190"/>
      <c r="M974" s="190"/>
      <c r="N974" s="190"/>
      <c r="O974" s="190"/>
    </row>
    <row r="975" spans="11:15">
      <c r="K975" s="190"/>
      <c r="L975" s="190"/>
      <c r="M975" s="190"/>
      <c r="N975" s="190"/>
      <c r="O975" s="190"/>
    </row>
    <row r="976" spans="11:15">
      <c r="K976" s="190"/>
      <c r="L976" s="190"/>
      <c r="M976" s="190"/>
      <c r="N976" s="190"/>
      <c r="O976" s="190"/>
    </row>
    <row r="977" spans="11:15">
      <c r="K977" s="190"/>
      <c r="L977" s="190"/>
      <c r="M977" s="190"/>
      <c r="N977" s="190"/>
      <c r="O977" s="190"/>
    </row>
    <row r="978" spans="11:15">
      <c r="K978" s="190"/>
      <c r="L978" s="190"/>
      <c r="M978" s="190"/>
      <c r="N978" s="190"/>
      <c r="O978" s="190"/>
    </row>
    <row r="979" spans="11:15">
      <c r="K979" s="190"/>
      <c r="L979" s="190"/>
      <c r="M979" s="190"/>
      <c r="N979" s="190"/>
      <c r="O979" s="190"/>
    </row>
    <row r="980" spans="11:15">
      <c r="K980" s="190"/>
      <c r="L980" s="190"/>
      <c r="M980" s="190"/>
      <c r="N980" s="190"/>
      <c r="O980" s="190"/>
    </row>
    <row r="981" spans="11:15">
      <c r="K981" s="190"/>
      <c r="L981" s="190"/>
      <c r="M981" s="190"/>
      <c r="N981" s="190"/>
      <c r="O981" s="190"/>
    </row>
    <row r="982" spans="11:15">
      <c r="K982" s="190"/>
      <c r="L982" s="190"/>
      <c r="M982" s="190"/>
      <c r="N982" s="190"/>
      <c r="O982" s="190"/>
    </row>
    <row r="983" spans="11:15">
      <c r="K983" s="190"/>
      <c r="L983" s="190"/>
      <c r="M983" s="190"/>
      <c r="N983" s="190"/>
      <c r="O983" s="190"/>
    </row>
    <row r="984" spans="11:15">
      <c r="K984" s="190"/>
      <c r="L984" s="190"/>
      <c r="M984" s="190"/>
      <c r="N984" s="190"/>
      <c r="O984" s="190"/>
    </row>
    <row r="985" spans="11:15">
      <c r="K985" s="190"/>
      <c r="L985" s="190"/>
      <c r="M985" s="190"/>
      <c r="N985" s="190"/>
      <c r="O985" s="190"/>
    </row>
    <row r="986" spans="11:15">
      <c r="K986" s="190"/>
      <c r="L986" s="190"/>
      <c r="M986" s="190"/>
      <c r="N986" s="190"/>
      <c r="O986" s="190"/>
    </row>
    <row r="987" spans="11:15">
      <c r="K987" s="190"/>
      <c r="L987" s="190"/>
      <c r="M987" s="190"/>
      <c r="N987" s="190"/>
      <c r="O987" s="190"/>
    </row>
    <row r="988" spans="11:15">
      <c r="K988" s="190"/>
      <c r="L988" s="190"/>
      <c r="M988" s="190"/>
      <c r="N988" s="190"/>
      <c r="O988" s="190"/>
    </row>
    <row r="989" spans="11:15">
      <c r="K989" s="190"/>
      <c r="L989" s="190"/>
      <c r="M989" s="190"/>
      <c r="N989" s="190"/>
      <c r="O989" s="190"/>
    </row>
    <row r="990" spans="11:15">
      <c r="K990" s="190"/>
      <c r="L990" s="190"/>
      <c r="M990" s="190"/>
      <c r="N990" s="190"/>
      <c r="O990" s="190"/>
    </row>
    <row r="991" spans="11:15">
      <c r="K991" s="190"/>
      <c r="L991" s="190"/>
      <c r="M991" s="190"/>
      <c r="N991" s="190"/>
      <c r="O991" s="190"/>
    </row>
    <row r="992" spans="11:15">
      <c r="K992" s="190"/>
      <c r="L992" s="190"/>
      <c r="M992" s="190"/>
      <c r="N992" s="190"/>
      <c r="O992" s="190"/>
    </row>
    <row r="993" spans="11:15">
      <c r="K993" s="190"/>
      <c r="L993" s="190"/>
      <c r="M993" s="190"/>
      <c r="N993" s="190"/>
      <c r="O993" s="190"/>
    </row>
    <row r="994" spans="11:15">
      <c r="K994" s="190"/>
      <c r="L994" s="190"/>
      <c r="M994" s="190"/>
      <c r="N994" s="190"/>
      <c r="O994" s="190"/>
    </row>
    <row r="995" spans="11:15">
      <c r="K995" s="190"/>
      <c r="L995" s="190"/>
      <c r="M995" s="190"/>
      <c r="N995" s="190"/>
      <c r="O995" s="190"/>
    </row>
    <row r="996" spans="11:15">
      <c r="K996" s="190"/>
      <c r="L996" s="190"/>
      <c r="M996" s="190"/>
      <c r="N996" s="190"/>
      <c r="O996" s="190"/>
    </row>
    <row r="997" spans="11:15">
      <c r="K997" s="190"/>
      <c r="L997" s="190"/>
      <c r="M997" s="190"/>
      <c r="N997" s="190"/>
      <c r="O997" s="190"/>
    </row>
    <row r="998" spans="11:15">
      <c r="K998" s="190"/>
      <c r="L998" s="190"/>
      <c r="M998" s="190"/>
      <c r="N998" s="190"/>
      <c r="O998" s="190"/>
    </row>
    <row r="999" spans="11:15">
      <c r="K999" s="190"/>
      <c r="L999" s="190"/>
      <c r="M999" s="190"/>
      <c r="N999" s="190"/>
      <c r="O999" s="190"/>
    </row>
    <row r="1000" spans="11:15">
      <c r="K1000" s="190"/>
      <c r="L1000" s="190"/>
      <c r="M1000" s="190"/>
      <c r="N1000" s="190"/>
      <c r="O1000" s="190"/>
    </row>
  </sheetData>
  <autoFilter ref="A2:U118" xr:uid="{E89A47B7-AACC-431A-9F4F-92393D7BA77D}">
    <filterColumn colId="17">
      <customFilters>
        <customFilter operator="notEqual" val=" "/>
      </customFilters>
    </filterColumn>
  </autoFilter>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70162-B388-4368-98EB-311791604862}">
  <dimension ref="A1:W36"/>
  <sheetViews>
    <sheetView topLeftCell="A9" workbookViewId="0">
      <selection activeCell="K17" sqref="K17"/>
    </sheetView>
  </sheetViews>
  <sheetFormatPr defaultColWidth="8.90625" defaultRowHeight="12"/>
  <cols>
    <col min="1" max="5" width="8.90625" style="404"/>
    <col min="6" max="6" width="31.90625" style="405" customWidth="1"/>
    <col min="7" max="10" width="8.90625" style="404"/>
    <col min="11" max="16" width="17.81640625" style="404" customWidth="1"/>
    <col min="17" max="17" width="8.90625" style="404"/>
    <col min="18" max="18" width="59.90625" style="404" customWidth="1"/>
    <col min="19" max="16384" width="8.90625" style="404"/>
  </cols>
  <sheetData>
    <row r="1" spans="1:23" ht="48" customHeight="1">
      <c r="A1" s="397" t="s">
        <v>1032</v>
      </c>
      <c r="B1" s="397" t="s">
        <v>1033</v>
      </c>
      <c r="C1" s="392" t="s">
        <v>1034</v>
      </c>
      <c r="D1" s="392" t="s">
        <v>1035</v>
      </c>
      <c r="E1" s="392" t="s">
        <v>1036</v>
      </c>
      <c r="F1" s="387" t="s">
        <v>1037</v>
      </c>
      <c r="G1" s="392" t="s">
        <v>1038</v>
      </c>
      <c r="H1" s="392" t="s">
        <v>1039</v>
      </c>
      <c r="I1" s="392" t="s">
        <v>1040</v>
      </c>
      <c r="J1" s="392" t="s">
        <v>1041</v>
      </c>
      <c r="K1" s="398">
        <v>1</v>
      </c>
      <c r="L1" s="399">
        <v>2</v>
      </c>
      <c r="M1" s="400">
        <v>3</v>
      </c>
      <c r="N1" s="401">
        <v>4</v>
      </c>
      <c r="O1" s="402">
        <v>5</v>
      </c>
      <c r="P1" s="403" t="s">
        <v>1042</v>
      </c>
      <c r="Q1" s="388" t="s">
        <v>1710</v>
      </c>
      <c r="R1" s="388" t="s">
        <v>1711</v>
      </c>
      <c r="S1" s="388" t="s">
        <v>1712</v>
      </c>
      <c r="T1" s="388" t="s">
        <v>1713</v>
      </c>
      <c r="U1" s="388" t="s">
        <v>1714</v>
      </c>
      <c r="V1" s="389" t="s">
        <v>1715</v>
      </c>
      <c r="W1" s="389" t="s">
        <v>1716</v>
      </c>
    </row>
    <row r="2" spans="1:23" ht="80.5">
      <c r="A2" s="393">
        <v>8</v>
      </c>
      <c r="B2" s="394" t="s">
        <v>14</v>
      </c>
      <c r="C2" s="394" t="s">
        <v>1717</v>
      </c>
      <c r="D2" s="394" t="s">
        <v>1045</v>
      </c>
      <c r="E2" s="394" t="s">
        <v>1157</v>
      </c>
      <c r="F2" s="390" t="s">
        <v>1718</v>
      </c>
      <c r="G2" s="394"/>
      <c r="H2" s="395">
        <v>1</v>
      </c>
      <c r="I2" s="394" t="s">
        <v>1237</v>
      </c>
      <c r="J2" s="394" t="s">
        <v>1238</v>
      </c>
      <c r="K2" s="396" t="s">
        <v>1719</v>
      </c>
      <c r="L2" s="396" t="s">
        <v>1720</v>
      </c>
      <c r="M2" s="396" t="s">
        <v>1721</v>
      </c>
      <c r="N2" s="396" t="s">
        <v>1722</v>
      </c>
      <c r="O2" s="396" t="s">
        <v>1723</v>
      </c>
      <c r="P2" s="394" t="s">
        <v>1724</v>
      </c>
      <c r="Q2" s="388" t="s">
        <v>20</v>
      </c>
      <c r="R2" s="388" t="s">
        <v>1725</v>
      </c>
      <c r="S2" s="388" t="s">
        <v>1726</v>
      </c>
      <c r="T2" s="388" t="s">
        <v>17</v>
      </c>
      <c r="U2" s="389" t="s">
        <v>1727</v>
      </c>
      <c r="V2" s="389" t="s">
        <v>17</v>
      </c>
      <c r="W2" s="389" t="s">
        <v>18</v>
      </c>
    </row>
    <row r="3" spans="1:23" ht="276">
      <c r="A3" s="393">
        <v>10</v>
      </c>
      <c r="B3" s="394" t="s">
        <v>14</v>
      </c>
      <c r="C3" s="394" t="s">
        <v>1717</v>
      </c>
      <c r="D3" s="394" t="s">
        <v>1045</v>
      </c>
      <c r="E3" s="394" t="s">
        <v>1046</v>
      </c>
      <c r="F3" s="390" t="s">
        <v>1436</v>
      </c>
      <c r="G3" s="394"/>
      <c r="H3" s="395">
        <v>1</v>
      </c>
      <c r="I3" s="394" t="s">
        <v>1237</v>
      </c>
      <c r="J3" s="394" t="s">
        <v>1238</v>
      </c>
      <c r="K3" s="396" t="s">
        <v>1437</v>
      </c>
      <c r="L3" s="396" t="s">
        <v>1438</v>
      </c>
      <c r="M3" s="396" t="s">
        <v>1439</v>
      </c>
      <c r="N3" s="396" t="s">
        <v>1440</v>
      </c>
      <c r="O3" s="396" t="s">
        <v>1441</v>
      </c>
      <c r="P3" s="394" t="s">
        <v>1728</v>
      </c>
      <c r="Q3" s="388" t="s">
        <v>1729</v>
      </c>
      <c r="R3" s="388" t="s">
        <v>1780</v>
      </c>
      <c r="S3" s="388" t="s">
        <v>1730</v>
      </c>
      <c r="T3" s="388" t="s">
        <v>1731</v>
      </c>
      <c r="U3" s="388" t="s">
        <v>1732</v>
      </c>
      <c r="V3" s="389" t="s">
        <v>17</v>
      </c>
      <c r="W3" s="389" t="s">
        <v>17</v>
      </c>
    </row>
    <row r="4" spans="1:23" ht="46">
      <c r="A4" s="393">
        <v>11</v>
      </c>
      <c r="B4" s="394" t="s">
        <v>14</v>
      </c>
      <c r="C4" s="394" t="s">
        <v>1733</v>
      </c>
      <c r="D4" s="394" t="s">
        <v>1045</v>
      </c>
      <c r="E4" s="394" t="s">
        <v>1188</v>
      </c>
      <c r="F4" s="390" t="s">
        <v>1734</v>
      </c>
      <c r="G4" s="394"/>
      <c r="H4" s="395">
        <v>1</v>
      </c>
      <c r="I4" s="394" t="s">
        <v>1237</v>
      </c>
      <c r="J4" s="394" t="s">
        <v>1735</v>
      </c>
      <c r="K4" s="396" t="s">
        <v>1736</v>
      </c>
      <c r="L4" s="396" t="s">
        <v>1737</v>
      </c>
      <c r="M4" s="396" t="s">
        <v>1738</v>
      </c>
      <c r="N4" s="396" t="s">
        <v>1739</v>
      </c>
      <c r="O4" s="396" t="s">
        <v>1740</v>
      </c>
      <c r="P4" s="394"/>
      <c r="Q4" s="388" t="s">
        <v>1011</v>
      </c>
      <c r="R4" s="388" t="s">
        <v>1741</v>
      </c>
      <c r="S4" s="388" t="s">
        <v>1730</v>
      </c>
      <c r="T4" s="388" t="s">
        <v>18</v>
      </c>
      <c r="U4" s="388" t="s">
        <v>1742</v>
      </c>
      <c r="V4" s="388" t="s">
        <v>17</v>
      </c>
      <c r="W4" s="388" t="s">
        <v>18</v>
      </c>
    </row>
    <row r="5" spans="1:23" ht="34.5">
      <c r="A5" s="393">
        <v>15</v>
      </c>
      <c r="B5" s="394" t="s">
        <v>14</v>
      </c>
      <c r="C5" s="394" t="s">
        <v>1733</v>
      </c>
      <c r="D5" s="394" t="s">
        <v>1081</v>
      </c>
      <c r="E5" s="394" t="s">
        <v>1387</v>
      </c>
      <c r="F5" s="390" t="s">
        <v>1743</v>
      </c>
      <c r="G5" s="394"/>
      <c r="H5" s="395">
        <v>0</v>
      </c>
      <c r="I5" s="394" t="s">
        <v>1240</v>
      </c>
      <c r="J5" s="394"/>
      <c r="K5" s="396"/>
      <c r="L5" s="396"/>
      <c r="M5" s="396"/>
      <c r="N5" s="396"/>
      <c r="O5" s="396"/>
      <c r="P5" s="394"/>
      <c r="Q5" s="388" t="s">
        <v>1729</v>
      </c>
      <c r="R5" s="388" t="s">
        <v>1744</v>
      </c>
      <c r="S5" s="388" t="s">
        <v>1745</v>
      </c>
      <c r="T5" s="388" t="s">
        <v>1746</v>
      </c>
      <c r="U5" s="388" t="s">
        <v>1747</v>
      </c>
      <c r="V5" s="388" t="s">
        <v>17</v>
      </c>
      <c r="W5" s="388" t="s">
        <v>18</v>
      </c>
    </row>
    <row r="6" spans="1:23" ht="69">
      <c r="A6" s="393">
        <v>16</v>
      </c>
      <c r="B6" s="394" t="s">
        <v>14</v>
      </c>
      <c r="C6" s="394" t="s">
        <v>1748</v>
      </c>
      <c r="D6" s="394" t="s">
        <v>1045</v>
      </c>
      <c r="E6" s="394" t="s">
        <v>1046</v>
      </c>
      <c r="F6" s="390" t="s">
        <v>1749</v>
      </c>
      <c r="G6" s="394"/>
      <c r="H6" s="394" t="s">
        <v>1750</v>
      </c>
      <c r="I6" s="394" t="s">
        <v>1240</v>
      </c>
      <c r="J6" s="394" t="s">
        <v>1751</v>
      </c>
      <c r="K6" s="396" t="s">
        <v>1752</v>
      </c>
      <c r="L6" s="396" t="s">
        <v>1753</v>
      </c>
      <c r="M6" s="396" t="s">
        <v>1754</v>
      </c>
      <c r="N6" s="396" t="s">
        <v>1755</v>
      </c>
      <c r="O6" s="396" t="s">
        <v>1756</v>
      </c>
      <c r="P6" s="394"/>
      <c r="Q6" s="388" t="s">
        <v>1011</v>
      </c>
      <c r="R6" s="388" t="s">
        <v>1741</v>
      </c>
      <c r="S6" s="388" t="s">
        <v>1730</v>
      </c>
      <c r="T6" s="388" t="s">
        <v>1757</v>
      </c>
      <c r="U6" s="388" t="s">
        <v>1742</v>
      </c>
      <c r="V6" s="388" t="s">
        <v>17</v>
      </c>
      <c r="W6" s="388" t="s">
        <v>18</v>
      </c>
    </row>
    <row r="7" spans="1:23" ht="80.5">
      <c r="A7" s="393">
        <v>17</v>
      </c>
      <c r="B7" s="394" t="s">
        <v>14</v>
      </c>
      <c r="C7" s="394" t="s">
        <v>1748</v>
      </c>
      <c r="D7" s="394" t="s">
        <v>1045</v>
      </c>
      <c r="E7" s="394" t="s">
        <v>1046</v>
      </c>
      <c r="F7" s="390" t="s">
        <v>1758</v>
      </c>
      <c r="G7" s="394"/>
      <c r="H7" s="394" t="s">
        <v>1759</v>
      </c>
      <c r="I7" s="394" t="s">
        <v>1240</v>
      </c>
      <c r="J7" s="394" t="s">
        <v>1751</v>
      </c>
      <c r="K7" s="396" t="s">
        <v>1760</v>
      </c>
      <c r="L7" s="396" t="s">
        <v>1761</v>
      </c>
      <c r="M7" s="396" t="s">
        <v>1762</v>
      </c>
      <c r="N7" s="396" t="s">
        <v>1763</v>
      </c>
      <c r="O7" s="396" t="s">
        <v>1764</v>
      </c>
      <c r="P7" s="394"/>
      <c r="Q7" s="388" t="s">
        <v>1011</v>
      </c>
      <c r="R7" s="388" t="s">
        <v>1741</v>
      </c>
      <c r="S7" s="388" t="s">
        <v>1730</v>
      </c>
      <c r="T7" s="388" t="s">
        <v>1757</v>
      </c>
      <c r="U7" s="388" t="s">
        <v>1742</v>
      </c>
      <c r="V7" s="388" t="s">
        <v>17</v>
      </c>
      <c r="W7" s="388" t="s">
        <v>18</v>
      </c>
    </row>
    <row r="8" spans="1:23" ht="69">
      <c r="A8" s="393">
        <v>18</v>
      </c>
      <c r="B8" s="394" t="s">
        <v>14</v>
      </c>
      <c r="C8" s="394"/>
      <c r="D8" s="394" t="s">
        <v>1081</v>
      </c>
      <c r="E8" s="394" t="s">
        <v>1387</v>
      </c>
      <c r="F8" s="390" t="s">
        <v>1765</v>
      </c>
      <c r="G8" s="394"/>
      <c r="H8" s="395">
        <v>0</v>
      </c>
      <c r="I8" s="394" t="s">
        <v>1240</v>
      </c>
      <c r="J8" s="394"/>
      <c r="K8" s="396" t="s">
        <v>1766</v>
      </c>
      <c r="L8" s="396" t="s">
        <v>1767</v>
      </c>
      <c r="M8" s="396" t="s">
        <v>1768</v>
      </c>
      <c r="N8" s="396" t="s">
        <v>1769</v>
      </c>
      <c r="O8" s="396" t="s">
        <v>1770</v>
      </c>
      <c r="P8" s="394"/>
      <c r="Q8" s="388" t="s">
        <v>1729</v>
      </c>
      <c r="R8" s="388" t="s">
        <v>1771</v>
      </c>
      <c r="S8" s="388" t="s">
        <v>1745</v>
      </c>
      <c r="T8" s="388" t="s">
        <v>1757</v>
      </c>
      <c r="U8" s="388" t="s">
        <v>1772</v>
      </c>
      <c r="V8" s="388" t="s">
        <v>17</v>
      </c>
      <c r="W8" s="388" t="s">
        <v>17</v>
      </c>
    </row>
    <row r="9" spans="1:23" ht="34.5">
      <c r="A9" s="393">
        <v>21</v>
      </c>
      <c r="B9" s="394" t="s">
        <v>14</v>
      </c>
      <c r="C9" s="394"/>
      <c r="D9" s="394" t="s">
        <v>1081</v>
      </c>
      <c r="E9" s="394" t="s">
        <v>1387</v>
      </c>
      <c r="F9" s="390" t="s">
        <v>1773</v>
      </c>
      <c r="G9" s="394"/>
      <c r="H9" s="395">
        <v>0</v>
      </c>
      <c r="I9" s="394" t="s">
        <v>1240</v>
      </c>
      <c r="J9" s="394"/>
      <c r="K9" s="396" t="s">
        <v>1774</v>
      </c>
      <c r="L9" s="396" t="s">
        <v>1775</v>
      </c>
      <c r="M9" s="396" t="s">
        <v>1776</v>
      </c>
      <c r="N9" s="396" t="s">
        <v>1777</v>
      </c>
      <c r="O9" s="396" t="s">
        <v>1778</v>
      </c>
      <c r="P9" s="394"/>
      <c r="Q9" s="388" t="s">
        <v>20</v>
      </c>
      <c r="R9" s="388" t="s">
        <v>1773</v>
      </c>
      <c r="S9" s="388" t="s">
        <v>1745</v>
      </c>
      <c r="T9" s="388" t="s">
        <v>1746</v>
      </c>
      <c r="U9" s="388" t="s">
        <v>1779</v>
      </c>
      <c r="V9" s="388" t="s">
        <v>17</v>
      </c>
      <c r="W9" s="388" t="s">
        <v>18</v>
      </c>
    </row>
    <row r="15" spans="1:23">
      <c r="A15" s="957" t="s">
        <v>1781</v>
      </c>
      <c r="B15" s="957"/>
      <c r="C15" s="957"/>
      <c r="D15" s="957"/>
      <c r="E15" s="957"/>
      <c r="F15" s="957"/>
      <c r="G15" s="957"/>
      <c r="H15" s="957"/>
      <c r="I15" s="957"/>
      <c r="J15" s="957"/>
      <c r="K15" s="958" t="s">
        <v>1782</v>
      </c>
      <c r="L15" s="958"/>
      <c r="M15" s="958"/>
      <c r="N15" s="958"/>
      <c r="O15" s="958"/>
    </row>
    <row r="16" spans="1:23" ht="48.5" thickBot="1">
      <c r="A16" s="791" t="s">
        <v>1783</v>
      </c>
      <c r="B16" s="406" t="s">
        <v>1033</v>
      </c>
      <c r="C16" s="791" t="s">
        <v>1784</v>
      </c>
      <c r="D16" s="406" t="s">
        <v>1785</v>
      </c>
      <c r="E16" s="406" t="s">
        <v>1786</v>
      </c>
      <c r="F16" s="406" t="s">
        <v>1787</v>
      </c>
      <c r="G16" s="791" t="s">
        <v>1788</v>
      </c>
      <c r="H16" s="406" t="s">
        <v>1789</v>
      </c>
      <c r="I16" s="791" t="s">
        <v>1790</v>
      </c>
      <c r="J16" s="406" t="s">
        <v>1791</v>
      </c>
      <c r="K16" s="792" t="s">
        <v>1792</v>
      </c>
      <c r="L16" s="793" t="s">
        <v>1793</v>
      </c>
      <c r="M16" s="794" t="s">
        <v>1794</v>
      </c>
      <c r="N16" s="795" t="s">
        <v>1795</v>
      </c>
      <c r="O16" s="796" t="s">
        <v>1796</v>
      </c>
    </row>
    <row r="17" spans="1:15" ht="228">
      <c r="A17" s="797">
        <v>1</v>
      </c>
      <c r="B17" s="798" t="s">
        <v>14</v>
      </c>
      <c r="C17" s="798" t="s">
        <v>1717</v>
      </c>
      <c r="D17" s="798" t="s">
        <v>1045</v>
      </c>
      <c r="E17" s="798" t="s">
        <v>1157</v>
      </c>
      <c r="F17" s="799" t="s">
        <v>2181</v>
      </c>
      <c r="G17" s="800" t="s">
        <v>1727</v>
      </c>
      <c r="H17" s="800" t="s">
        <v>1797</v>
      </c>
      <c r="I17" s="801">
        <v>0.25</v>
      </c>
      <c r="J17" s="800" t="s">
        <v>1011</v>
      </c>
      <c r="K17" s="800" t="s">
        <v>1798</v>
      </c>
      <c r="L17" s="800" t="s">
        <v>1720</v>
      </c>
      <c r="M17" s="802" t="s">
        <v>1721</v>
      </c>
      <c r="N17" s="802" t="s">
        <v>1722</v>
      </c>
      <c r="O17" s="803" t="s">
        <v>1723</v>
      </c>
    </row>
    <row r="18" spans="1:15" ht="348">
      <c r="A18" s="797">
        <v>2</v>
      </c>
      <c r="B18" s="798" t="s">
        <v>14</v>
      </c>
      <c r="C18" s="798" t="s">
        <v>1717</v>
      </c>
      <c r="D18" s="798" t="s">
        <v>1045</v>
      </c>
      <c r="E18" s="798" t="s">
        <v>1046</v>
      </c>
      <c r="F18" s="469" t="s">
        <v>1799</v>
      </c>
      <c r="G18" s="804" t="s">
        <v>1727</v>
      </c>
      <c r="H18" s="804" t="s">
        <v>1800</v>
      </c>
      <c r="I18" s="805">
        <v>0.5</v>
      </c>
      <c r="J18" s="804" t="s">
        <v>20</v>
      </c>
      <c r="K18" s="804" t="s">
        <v>1801</v>
      </c>
      <c r="L18" s="806" t="s">
        <v>1802</v>
      </c>
      <c r="M18" s="807" t="s">
        <v>1803</v>
      </c>
      <c r="N18" s="807" t="s">
        <v>1804</v>
      </c>
      <c r="O18" s="808" t="s">
        <v>1805</v>
      </c>
    </row>
    <row r="19" spans="1:15" ht="168">
      <c r="A19" s="797">
        <v>3</v>
      </c>
      <c r="B19" s="798" t="s">
        <v>14</v>
      </c>
      <c r="C19" s="798" t="s">
        <v>1717</v>
      </c>
      <c r="D19" s="798" t="s">
        <v>1045</v>
      </c>
      <c r="E19" s="798" t="s">
        <v>1387</v>
      </c>
      <c r="F19" s="469" t="s">
        <v>1806</v>
      </c>
      <c r="G19" s="804" t="s">
        <v>1727</v>
      </c>
      <c r="H19" s="809" t="s">
        <v>1807</v>
      </c>
      <c r="I19" s="953">
        <v>0.25</v>
      </c>
      <c r="J19" s="955" t="s">
        <v>20</v>
      </c>
      <c r="K19" s="806" t="s">
        <v>1808</v>
      </c>
      <c r="L19" s="810"/>
      <c r="M19" s="807" t="s">
        <v>1809</v>
      </c>
      <c r="N19" s="807" t="s">
        <v>1810</v>
      </c>
      <c r="O19" s="808" t="s">
        <v>1811</v>
      </c>
    </row>
    <row r="20" spans="1:15" ht="120.5" thickBot="1">
      <c r="A20" s="797">
        <v>4</v>
      </c>
      <c r="B20" s="798" t="s">
        <v>14</v>
      </c>
      <c r="C20" s="798" t="s">
        <v>1717</v>
      </c>
      <c r="D20" s="798" t="s">
        <v>1045</v>
      </c>
      <c r="E20" s="798" t="s">
        <v>1387</v>
      </c>
      <c r="F20" s="811" t="s">
        <v>1812</v>
      </c>
      <c r="G20" s="812" t="s">
        <v>1708</v>
      </c>
      <c r="H20" s="813" t="s">
        <v>1813</v>
      </c>
      <c r="I20" s="954"/>
      <c r="J20" s="956"/>
      <c r="K20" s="813" t="s">
        <v>1814</v>
      </c>
      <c r="L20" s="813" t="s">
        <v>1815</v>
      </c>
      <c r="M20" s="814" t="s">
        <v>1816</v>
      </c>
      <c r="N20" s="814" t="s">
        <v>1817</v>
      </c>
      <c r="O20" s="815" t="s">
        <v>1818</v>
      </c>
    </row>
    <row r="21" spans="1:15" ht="48">
      <c r="A21" s="797">
        <v>5</v>
      </c>
      <c r="B21" s="798" t="s">
        <v>14</v>
      </c>
      <c r="C21" s="798" t="s">
        <v>1717</v>
      </c>
      <c r="D21" s="798" t="s">
        <v>1045</v>
      </c>
      <c r="E21" s="798" t="s">
        <v>1387</v>
      </c>
      <c r="F21" s="404" t="s">
        <v>1819</v>
      </c>
      <c r="G21" s="797" t="s">
        <v>1779</v>
      </c>
      <c r="H21" s="797" t="s">
        <v>9</v>
      </c>
      <c r="I21" s="816">
        <v>0</v>
      </c>
      <c r="J21" s="797" t="s">
        <v>1011</v>
      </c>
      <c r="K21" s="797"/>
      <c r="L21" s="797"/>
      <c r="M21" s="797"/>
      <c r="N21" s="797"/>
      <c r="O21" s="797"/>
    </row>
    <row r="22" spans="1:15" ht="48">
      <c r="A22" s="797">
        <v>6</v>
      </c>
      <c r="B22" s="798" t="s">
        <v>14</v>
      </c>
      <c r="C22" s="798" t="s">
        <v>1717</v>
      </c>
      <c r="D22" s="798" t="s">
        <v>1045</v>
      </c>
      <c r="E22" s="798" t="s">
        <v>1387</v>
      </c>
      <c r="F22" s="404" t="s">
        <v>1820</v>
      </c>
      <c r="G22" s="797" t="s">
        <v>1821</v>
      </c>
      <c r="H22" s="797" t="s">
        <v>9</v>
      </c>
      <c r="I22" s="816">
        <v>0</v>
      </c>
      <c r="J22" s="797" t="s">
        <v>1011</v>
      </c>
      <c r="K22" s="797"/>
      <c r="L22" s="797"/>
      <c r="M22" s="797"/>
      <c r="N22" s="797"/>
      <c r="O22" s="797"/>
    </row>
    <row r="23" spans="1:15" ht="156">
      <c r="A23" s="797">
        <v>7</v>
      </c>
      <c r="B23" s="798" t="s">
        <v>14</v>
      </c>
      <c r="C23" s="798" t="s">
        <v>1717</v>
      </c>
      <c r="D23" s="798" t="s">
        <v>1045</v>
      </c>
      <c r="E23" s="798" t="s">
        <v>1046</v>
      </c>
      <c r="F23" s="404" t="s">
        <v>1822</v>
      </c>
      <c r="G23" s="797" t="s">
        <v>1727</v>
      </c>
      <c r="H23" s="797" t="s">
        <v>1823</v>
      </c>
      <c r="I23" s="816">
        <v>0</v>
      </c>
      <c r="J23" s="797" t="s">
        <v>1011</v>
      </c>
      <c r="K23" s="797"/>
      <c r="L23" s="797"/>
      <c r="M23" s="797"/>
      <c r="N23" s="797"/>
      <c r="O23" s="797"/>
    </row>
    <row r="24" spans="1:15" ht="192">
      <c r="A24" s="797">
        <v>8</v>
      </c>
      <c r="B24" s="798" t="s">
        <v>14</v>
      </c>
      <c r="C24" s="798" t="s">
        <v>1717</v>
      </c>
      <c r="D24" s="798" t="s">
        <v>1045</v>
      </c>
      <c r="E24" s="798" t="s">
        <v>1046</v>
      </c>
      <c r="F24" s="404" t="s">
        <v>1824</v>
      </c>
      <c r="G24" s="797" t="s">
        <v>1727</v>
      </c>
      <c r="H24" s="797" t="s">
        <v>1825</v>
      </c>
      <c r="I24" s="816">
        <v>0</v>
      </c>
      <c r="J24" s="797" t="s">
        <v>1011</v>
      </c>
      <c r="K24" s="797"/>
      <c r="L24" s="797"/>
      <c r="M24" s="797"/>
      <c r="N24" s="797"/>
      <c r="O24" s="797"/>
    </row>
    <row r="25" spans="1:15" ht="228">
      <c r="A25" s="797">
        <v>9</v>
      </c>
      <c r="B25" s="798" t="s">
        <v>14</v>
      </c>
      <c r="C25" s="798" t="s">
        <v>1717</v>
      </c>
      <c r="D25" s="798" t="s">
        <v>1045</v>
      </c>
      <c r="E25" s="798" t="s">
        <v>1046</v>
      </c>
      <c r="F25" s="404" t="s">
        <v>1826</v>
      </c>
      <c r="G25" s="797" t="s">
        <v>1708</v>
      </c>
      <c r="H25" s="797" t="s">
        <v>1827</v>
      </c>
      <c r="I25" s="816">
        <v>0</v>
      </c>
      <c r="J25" s="797" t="s">
        <v>1011</v>
      </c>
      <c r="K25" s="797"/>
      <c r="L25" s="797"/>
      <c r="M25" s="797"/>
      <c r="N25" s="797"/>
      <c r="O25" s="797"/>
    </row>
    <row r="26" spans="1:15" ht="228">
      <c r="A26" s="797">
        <v>10</v>
      </c>
      <c r="B26" s="798" t="s">
        <v>14</v>
      </c>
      <c r="C26" s="798" t="s">
        <v>1717</v>
      </c>
      <c r="D26" s="798" t="s">
        <v>1045</v>
      </c>
      <c r="E26" s="798" t="s">
        <v>1046</v>
      </c>
      <c r="F26" s="404" t="s">
        <v>1828</v>
      </c>
      <c r="G26" s="797" t="s">
        <v>1708</v>
      </c>
      <c r="H26" s="797" t="s">
        <v>1829</v>
      </c>
      <c r="I26" s="816">
        <v>0</v>
      </c>
      <c r="J26" s="797" t="s">
        <v>1011</v>
      </c>
      <c r="K26" s="797"/>
      <c r="L26" s="797"/>
      <c r="M26" s="797"/>
      <c r="N26" s="797"/>
      <c r="O26" s="797"/>
    </row>
    <row r="27" spans="1:15" ht="216">
      <c r="A27" s="797">
        <v>11</v>
      </c>
      <c r="B27" s="798" t="s">
        <v>14</v>
      </c>
      <c r="C27" s="798" t="s">
        <v>1717</v>
      </c>
      <c r="D27" s="798" t="s">
        <v>1045</v>
      </c>
      <c r="E27" s="798" t="s">
        <v>1046</v>
      </c>
      <c r="F27" s="404" t="s">
        <v>1830</v>
      </c>
      <c r="G27" s="797" t="s">
        <v>1708</v>
      </c>
      <c r="H27" s="797" t="s">
        <v>1831</v>
      </c>
      <c r="I27" s="816">
        <v>0</v>
      </c>
      <c r="J27" s="797" t="s">
        <v>1011</v>
      </c>
      <c r="K27" s="797"/>
      <c r="L27" s="797"/>
      <c r="M27" s="797"/>
      <c r="N27" s="797"/>
      <c r="O27" s="797"/>
    </row>
    <row r="28" spans="1:15" ht="216">
      <c r="A28" s="797">
        <v>12</v>
      </c>
      <c r="B28" s="798" t="s">
        <v>14</v>
      </c>
      <c r="C28" s="798" t="s">
        <v>1717</v>
      </c>
      <c r="D28" s="798" t="s">
        <v>1045</v>
      </c>
      <c r="E28" s="798" t="s">
        <v>1046</v>
      </c>
      <c r="F28" s="404" t="s">
        <v>1832</v>
      </c>
      <c r="G28" s="797" t="s">
        <v>1708</v>
      </c>
      <c r="H28" s="797" t="s">
        <v>1833</v>
      </c>
      <c r="I28" s="816">
        <v>0</v>
      </c>
      <c r="J28" s="797" t="s">
        <v>1011</v>
      </c>
      <c r="K28" s="797"/>
      <c r="L28" s="797"/>
      <c r="M28" s="797"/>
      <c r="N28" s="797"/>
      <c r="O28" s="797"/>
    </row>
    <row r="29" spans="1:15" ht="409.5">
      <c r="A29" s="797">
        <v>13</v>
      </c>
      <c r="B29" s="525" t="s">
        <v>14</v>
      </c>
      <c r="C29" s="798" t="s">
        <v>1717</v>
      </c>
      <c r="D29" s="798" t="s">
        <v>1045</v>
      </c>
      <c r="E29" s="798" t="s">
        <v>1157</v>
      </c>
      <c r="F29" s="404" t="s">
        <v>1834</v>
      </c>
      <c r="G29" s="797" t="s">
        <v>1708</v>
      </c>
      <c r="H29" s="797" t="s">
        <v>1835</v>
      </c>
      <c r="I29" s="816">
        <v>0</v>
      </c>
      <c r="J29" s="797" t="s">
        <v>1011</v>
      </c>
      <c r="K29" s="797"/>
      <c r="L29" s="797"/>
      <c r="M29" s="797"/>
      <c r="N29" s="797"/>
      <c r="O29" s="797"/>
    </row>
    <row r="30" spans="1:15" ht="96">
      <c r="A30" s="797">
        <v>14</v>
      </c>
      <c r="B30" s="525" t="s">
        <v>14</v>
      </c>
      <c r="C30" s="798" t="s">
        <v>1717</v>
      </c>
      <c r="D30" s="798" t="s">
        <v>1045</v>
      </c>
      <c r="E30" s="798" t="s">
        <v>1046</v>
      </c>
      <c r="F30" s="404" t="s">
        <v>1741</v>
      </c>
      <c r="G30" s="797" t="s">
        <v>1742</v>
      </c>
      <c r="H30" s="797" t="s">
        <v>1836</v>
      </c>
      <c r="I30" s="816">
        <v>0</v>
      </c>
      <c r="J30" s="797" t="s">
        <v>1011</v>
      </c>
      <c r="K30" s="797"/>
      <c r="L30" s="797"/>
      <c r="M30" s="797"/>
      <c r="N30" s="797"/>
      <c r="O30" s="797"/>
    </row>
    <row r="31" spans="1:15" ht="240">
      <c r="A31" s="797">
        <v>15</v>
      </c>
      <c r="B31" s="798" t="s">
        <v>14</v>
      </c>
      <c r="C31" s="798" t="s">
        <v>1733</v>
      </c>
      <c r="D31" s="798" t="s">
        <v>1081</v>
      </c>
      <c r="E31" s="798" t="s">
        <v>1387</v>
      </c>
      <c r="F31" s="404" t="s">
        <v>1837</v>
      </c>
      <c r="G31" s="797" t="s">
        <v>1708</v>
      </c>
      <c r="H31" s="797" t="s">
        <v>1525</v>
      </c>
      <c r="I31" s="816">
        <v>0</v>
      </c>
      <c r="J31" s="797" t="s">
        <v>1011</v>
      </c>
      <c r="K31" s="797"/>
      <c r="L31" s="797"/>
      <c r="M31" s="797"/>
      <c r="N31" s="797"/>
      <c r="O31" s="797"/>
    </row>
    <row r="32" spans="1:15" ht="24">
      <c r="A32" s="797">
        <v>16</v>
      </c>
      <c r="B32" s="798" t="s">
        <v>14</v>
      </c>
      <c r="C32" s="798" t="s">
        <v>1733</v>
      </c>
      <c r="D32" s="798" t="s">
        <v>1081</v>
      </c>
      <c r="E32" s="798" t="s">
        <v>1387</v>
      </c>
      <c r="F32" s="404" t="s">
        <v>1838</v>
      </c>
      <c r="G32" s="797" t="s">
        <v>1839</v>
      </c>
      <c r="H32" s="797" t="s">
        <v>9</v>
      </c>
      <c r="I32" s="816">
        <v>0</v>
      </c>
      <c r="J32" s="797" t="s">
        <v>1011</v>
      </c>
      <c r="K32" s="797"/>
      <c r="L32" s="797"/>
      <c r="M32" s="797"/>
      <c r="N32" s="797"/>
      <c r="O32" s="797"/>
    </row>
    <row r="33" spans="1:15" ht="120">
      <c r="A33" s="797">
        <v>17</v>
      </c>
      <c r="B33" s="798" t="s">
        <v>14</v>
      </c>
      <c r="C33" s="798" t="s">
        <v>1717</v>
      </c>
      <c r="D33" s="798" t="s">
        <v>1045</v>
      </c>
      <c r="E33" s="798" t="s">
        <v>1387</v>
      </c>
      <c r="F33" s="404" t="s">
        <v>1840</v>
      </c>
      <c r="G33" s="797" t="s">
        <v>1841</v>
      </c>
      <c r="H33" s="797" t="s">
        <v>1813</v>
      </c>
      <c r="I33" s="816">
        <v>0</v>
      </c>
      <c r="J33" s="797" t="s">
        <v>1011</v>
      </c>
      <c r="K33" s="797"/>
      <c r="L33" s="797"/>
      <c r="M33" s="797"/>
      <c r="N33" s="797"/>
      <c r="O33" s="797"/>
    </row>
    <row r="34" spans="1:15" ht="120">
      <c r="A34" s="797">
        <v>18</v>
      </c>
      <c r="B34" s="798" t="s">
        <v>14</v>
      </c>
      <c r="C34" s="798" t="s">
        <v>1717</v>
      </c>
      <c r="D34" s="798" t="s">
        <v>1045</v>
      </c>
      <c r="E34" s="798" t="s">
        <v>1387</v>
      </c>
      <c r="F34" s="404" t="s">
        <v>1842</v>
      </c>
      <c r="G34" s="797" t="s">
        <v>1841</v>
      </c>
      <c r="H34" s="797" t="s">
        <v>1843</v>
      </c>
      <c r="I34" s="816">
        <v>0</v>
      </c>
      <c r="J34" s="797" t="s">
        <v>1011</v>
      </c>
      <c r="K34" s="797"/>
      <c r="L34" s="797"/>
      <c r="M34" s="797"/>
      <c r="N34" s="797"/>
      <c r="O34" s="797"/>
    </row>
    <row r="35" spans="1:15" ht="60">
      <c r="A35" s="797">
        <v>19</v>
      </c>
      <c r="B35" s="798" t="s">
        <v>14</v>
      </c>
      <c r="C35" s="798" t="s">
        <v>1717</v>
      </c>
      <c r="D35" s="798" t="s">
        <v>1045</v>
      </c>
      <c r="E35" s="798" t="s">
        <v>1046</v>
      </c>
      <c r="F35" s="404" t="s">
        <v>1844</v>
      </c>
      <c r="G35" s="797" t="s">
        <v>1845</v>
      </c>
      <c r="H35" s="798" t="s">
        <v>1846</v>
      </c>
      <c r="I35" s="816">
        <v>0</v>
      </c>
      <c r="J35" s="797" t="s">
        <v>1011</v>
      </c>
      <c r="K35" s="525"/>
      <c r="L35" s="525"/>
      <c r="M35" s="525"/>
      <c r="N35" s="525"/>
      <c r="O35" s="525"/>
    </row>
    <row r="36" spans="1:15" ht="120">
      <c r="A36" s="797">
        <v>20</v>
      </c>
      <c r="B36" s="798" t="s">
        <v>14</v>
      </c>
      <c r="C36" s="798" t="s">
        <v>1717</v>
      </c>
      <c r="D36" s="798" t="s">
        <v>1045</v>
      </c>
      <c r="E36" s="798" t="s">
        <v>1046</v>
      </c>
      <c r="F36" s="404" t="s">
        <v>1847</v>
      </c>
      <c r="G36" s="797" t="s">
        <v>1708</v>
      </c>
      <c r="H36" s="798" t="s">
        <v>1843</v>
      </c>
      <c r="I36" s="816">
        <v>0</v>
      </c>
      <c r="J36" s="797" t="s">
        <v>1011</v>
      </c>
      <c r="K36" s="525"/>
      <c r="L36" s="525"/>
      <c r="M36" s="525"/>
      <c r="N36" s="525"/>
      <c r="O36" s="525"/>
    </row>
  </sheetData>
  <mergeCells count="4">
    <mergeCell ref="I19:I20"/>
    <mergeCell ref="J19:J20"/>
    <mergeCell ref="A15:J15"/>
    <mergeCell ref="K15:O1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D454D-387A-4585-B536-4BC5447D13E2}">
  <sheetPr>
    <pageSetUpPr fitToPage="1"/>
  </sheetPr>
  <dimension ref="A1:M14"/>
  <sheetViews>
    <sheetView zoomScale="85" zoomScaleNormal="85" workbookViewId="0">
      <pane xSplit="2" ySplit="4" topLeftCell="C5" activePane="bottomRight" state="frozen"/>
      <selection pane="topRight" activeCell="C1" sqref="C1"/>
      <selection pane="bottomLeft" activeCell="A3" sqref="A3"/>
      <selection pane="bottomRight" activeCell="D21" sqref="D21"/>
    </sheetView>
  </sheetViews>
  <sheetFormatPr defaultColWidth="9.08984375" defaultRowHeight="12.5"/>
  <cols>
    <col min="1" max="1" width="6.6328125" style="1" customWidth="1"/>
    <col min="2" max="2" width="17.54296875" style="1" customWidth="1"/>
    <col min="3" max="3" width="28.54296875" style="1" customWidth="1"/>
    <col min="4" max="4" width="15.08984375" style="1" customWidth="1"/>
    <col min="5" max="5" width="16.453125" style="1" bestFit="1" customWidth="1"/>
    <col min="6" max="10" width="27.36328125" style="1" customWidth="1"/>
    <col min="11" max="11" width="25.453125" style="1" customWidth="1"/>
    <col min="12" max="12" width="15.08984375" style="1" customWidth="1"/>
    <col min="13" max="16384" width="9.08984375" style="1"/>
  </cols>
  <sheetData>
    <row r="1" spans="1:13" ht="17">
      <c r="A1" s="112"/>
      <c r="B1" s="5"/>
      <c r="C1" s="5"/>
      <c r="D1" s="5"/>
      <c r="E1" s="5"/>
    </row>
    <row r="4" spans="1:13" ht="22.5" customHeight="1">
      <c r="A4" s="113" t="s">
        <v>853</v>
      </c>
      <c r="B4" s="113" t="s">
        <v>376</v>
      </c>
      <c r="C4" s="113" t="s">
        <v>36</v>
      </c>
      <c r="D4" s="113" t="s">
        <v>379</v>
      </c>
      <c r="E4" s="113" t="s">
        <v>1035</v>
      </c>
      <c r="F4" s="114" t="s">
        <v>514</v>
      </c>
      <c r="G4" s="115" t="s">
        <v>515</v>
      </c>
      <c r="H4" s="116" t="s">
        <v>513</v>
      </c>
      <c r="I4" s="117" t="s">
        <v>839</v>
      </c>
      <c r="J4" s="118" t="s">
        <v>840</v>
      </c>
    </row>
    <row r="5" spans="1:13" ht="37.5">
      <c r="A5" s="120">
        <v>1</v>
      </c>
      <c r="B5" s="121" t="s">
        <v>788</v>
      </c>
      <c r="C5" s="121" t="s">
        <v>928</v>
      </c>
      <c r="D5" s="121" t="s">
        <v>37</v>
      </c>
      <c r="E5" s="121" t="s">
        <v>848</v>
      </c>
      <c r="F5" s="122" t="s">
        <v>929</v>
      </c>
      <c r="G5" s="123" t="s">
        <v>930</v>
      </c>
      <c r="H5" s="124" t="s">
        <v>931</v>
      </c>
      <c r="I5" s="125" t="s">
        <v>932</v>
      </c>
      <c r="J5" s="126" t="s">
        <v>933</v>
      </c>
    </row>
    <row r="6" spans="1:13" ht="50">
      <c r="A6" s="120">
        <v>2</v>
      </c>
      <c r="B6" s="121" t="s">
        <v>788</v>
      </c>
      <c r="C6" s="121" t="s">
        <v>934</v>
      </c>
      <c r="D6" s="121" t="s">
        <v>37</v>
      </c>
      <c r="E6" s="121" t="s">
        <v>848</v>
      </c>
      <c r="F6" s="122" t="s">
        <v>935</v>
      </c>
      <c r="G6" s="123" t="s">
        <v>9</v>
      </c>
      <c r="H6" s="124" t="s">
        <v>936</v>
      </c>
      <c r="I6" s="125" t="s">
        <v>937</v>
      </c>
      <c r="J6" s="126" t="s">
        <v>938</v>
      </c>
      <c r="M6" s="271"/>
    </row>
    <row r="7" spans="1:13" ht="25" hidden="1">
      <c r="A7" s="120">
        <v>15</v>
      </c>
      <c r="B7" s="121" t="s">
        <v>788</v>
      </c>
      <c r="C7" s="140" t="s">
        <v>939</v>
      </c>
      <c r="D7" s="121" t="s">
        <v>37</v>
      </c>
      <c r="E7" s="121"/>
      <c r="F7" s="122" t="s">
        <v>940</v>
      </c>
      <c r="G7" s="123" t="s">
        <v>941</v>
      </c>
      <c r="H7" s="124" t="s">
        <v>942</v>
      </c>
      <c r="I7" s="125" t="s">
        <v>943</v>
      </c>
      <c r="J7" s="126" t="s">
        <v>944</v>
      </c>
      <c r="M7" s="271"/>
    </row>
    <row r="10" spans="1:13" ht="13">
      <c r="A10" s="2"/>
    </row>
    <row r="11" spans="1:13" ht="13">
      <c r="A11" s="2"/>
    </row>
    <row r="12" spans="1:13" ht="13">
      <c r="A12" s="2"/>
    </row>
    <row r="13" spans="1:13" ht="13">
      <c r="A13" s="2"/>
    </row>
    <row r="14" spans="1:13" ht="13">
      <c r="A14" s="2"/>
    </row>
  </sheetData>
  <autoFilter ref="A4:N7" xr:uid="{00000000-0009-0000-0000-000001000000}"/>
  <pageMargins left="0.7" right="0.7" top="0.75" bottom="0.75" header="0.3" footer="0.3"/>
  <pageSetup paperSize="8" scale="54" fitToWidth="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50F7C-3FFD-4212-9129-8255F00AAA04}">
  <sheetPr filterMode="1"/>
  <dimension ref="A1:R12"/>
  <sheetViews>
    <sheetView zoomScale="70" zoomScaleNormal="70" workbookViewId="0">
      <selection activeCell="F2" sqref="F2"/>
    </sheetView>
  </sheetViews>
  <sheetFormatPr defaultColWidth="9.08984375" defaultRowHeight="13"/>
  <cols>
    <col min="1" max="1" width="8.6328125" style="5" customWidth="1"/>
    <col min="2" max="2" width="13.08984375" style="5" bestFit="1" customWidth="1"/>
    <col min="3" max="3" width="29.54296875" style="5" customWidth="1"/>
    <col min="4" max="4" width="13.54296875" style="5" bestFit="1" customWidth="1"/>
    <col min="5" max="5" width="19.36328125" style="5" bestFit="1" customWidth="1"/>
    <col min="6" max="6" width="31.08984375" style="5" customWidth="1"/>
    <col min="7" max="7" width="8.08984375" style="5" customWidth="1"/>
    <col min="8" max="8" width="15.6328125" style="5" customWidth="1"/>
    <col min="9" max="9" width="28.08984375" style="5" customWidth="1"/>
    <col min="10" max="10" width="24.54296875" style="5" customWidth="1"/>
    <col min="11" max="12" width="24.90625" style="5" customWidth="1"/>
    <col min="13" max="13" width="25.36328125" style="5" customWidth="1"/>
    <col min="14" max="14" width="17.453125" style="5" customWidth="1"/>
    <col min="15" max="15" width="96" style="5" customWidth="1"/>
    <col min="16" max="16" width="19.54296875" style="5" customWidth="1"/>
    <col min="17" max="17" width="27.453125" style="5" bestFit="1" customWidth="1"/>
    <col min="18" max="18" width="18.08984375" style="5" bestFit="1" customWidth="1"/>
    <col min="19" max="16384" width="9.08984375" style="5"/>
  </cols>
  <sheetData>
    <row r="1" spans="1:18" ht="52.5" thickBot="1">
      <c r="A1" s="239" t="s">
        <v>1032</v>
      </c>
      <c r="B1" s="240" t="s">
        <v>1033</v>
      </c>
      <c r="C1" s="240" t="s">
        <v>1034</v>
      </c>
      <c r="D1" s="240" t="s">
        <v>1035</v>
      </c>
      <c r="E1" s="240" t="s">
        <v>1036</v>
      </c>
      <c r="F1" s="240" t="s">
        <v>1037</v>
      </c>
      <c r="G1" s="240" t="s">
        <v>1038</v>
      </c>
      <c r="H1" s="240" t="s">
        <v>1039</v>
      </c>
      <c r="I1" s="240" t="s">
        <v>1040</v>
      </c>
      <c r="J1" s="240" t="s">
        <v>1041</v>
      </c>
      <c r="K1" s="241">
        <v>1</v>
      </c>
      <c r="L1" s="242">
        <v>2</v>
      </c>
      <c r="M1" s="243">
        <v>3</v>
      </c>
      <c r="N1" s="244">
        <v>4</v>
      </c>
      <c r="O1" s="245">
        <v>5</v>
      </c>
      <c r="P1" s="246" t="s">
        <v>1151</v>
      </c>
      <c r="Q1" s="4" t="s">
        <v>1152</v>
      </c>
      <c r="R1" s="4" t="s">
        <v>1153</v>
      </c>
    </row>
    <row r="2" spans="1:18" ht="52">
      <c r="A2" s="247">
        <v>22</v>
      </c>
      <c r="B2" s="248" t="s">
        <v>1154</v>
      </c>
      <c r="C2" s="248" t="s">
        <v>1155</v>
      </c>
      <c r="D2" s="249" t="s">
        <v>1156</v>
      </c>
      <c r="E2" s="249" t="s">
        <v>1157</v>
      </c>
      <c r="F2" s="249" t="s">
        <v>1158</v>
      </c>
      <c r="G2" s="250">
        <v>2</v>
      </c>
      <c r="H2" s="248" t="s">
        <v>1159</v>
      </c>
      <c r="I2" s="248" t="s">
        <v>1160</v>
      </c>
      <c r="J2" s="248" t="s">
        <v>1161</v>
      </c>
      <c r="K2" s="248" t="s">
        <v>1162</v>
      </c>
      <c r="L2" s="248" t="s">
        <v>1163</v>
      </c>
      <c r="M2" s="248" t="s">
        <v>1164</v>
      </c>
      <c r="N2" s="248" t="s">
        <v>1165</v>
      </c>
      <c r="O2" s="248"/>
      <c r="P2" s="5" t="s">
        <v>1166</v>
      </c>
      <c r="R2" s="5" t="s">
        <v>20</v>
      </c>
    </row>
    <row r="3" spans="1:18" ht="143" hidden="1">
      <c r="A3" s="247">
        <v>23</v>
      </c>
      <c r="B3" s="248" t="s">
        <v>1154</v>
      </c>
      <c r="C3" s="248" t="s">
        <v>1155</v>
      </c>
      <c r="D3" s="249" t="s">
        <v>1156</v>
      </c>
      <c r="E3" s="249" t="s">
        <v>1157</v>
      </c>
      <c r="F3" s="249" t="s">
        <v>1167</v>
      </c>
      <c r="G3" s="250">
        <v>1</v>
      </c>
      <c r="H3" s="248" t="s">
        <v>1159</v>
      </c>
      <c r="I3" s="248" t="s">
        <v>1168</v>
      </c>
      <c r="J3" s="248" t="s">
        <v>1161</v>
      </c>
      <c r="K3" s="248" t="s">
        <v>1169</v>
      </c>
      <c r="L3" s="248" t="s">
        <v>1170</v>
      </c>
      <c r="M3" s="248" t="s">
        <v>1171</v>
      </c>
      <c r="N3" s="248" t="s">
        <v>1165</v>
      </c>
      <c r="O3" s="248" t="s">
        <v>1172</v>
      </c>
      <c r="P3" s="5" t="s">
        <v>1173</v>
      </c>
      <c r="Q3" s="5" t="s">
        <v>1174</v>
      </c>
    </row>
    <row r="4" spans="1:18" ht="26">
      <c r="A4" s="247">
        <v>24</v>
      </c>
      <c r="B4" s="248" t="s">
        <v>1154</v>
      </c>
      <c r="C4" s="248" t="s">
        <v>1155</v>
      </c>
      <c r="D4" s="249" t="s">
        <v>1156</v>
      </c>
      <c r="E4" s="249" t="s">
        <v>1046</v>
      </c>
      <c r="F4" s="249" t="s">
        <v>1175</v>
      </c>
      <c r="G4" s="250">
        <v>1</v>
      </c>
      <c r="H4" s="248" t="s">
        <v>1159</v>
      </c>
      <c r="I4" s="248" t="s">
        <v>1168</v>
      </c>
      <c r="J4" s="248" t="s">
        <v>1176</v>
      </c>
      <c r="K4" s="248" t="s">
        <v>1177</v>
      </c>
      <c r="L4" s="248" t="s">
        <v>1178</v>
      </c>
      <c r="M4" s="248" t="s">
        <v>1179</v>
      </c>
      <c r="N4" s="248" t="s">
        <v>1180</v>
      </c>
      <c r="O4" s="248"/>
      <c r="P4" s="5" t="s">
        <v>1166</v>
      </c>
      <c r="R4" s="5" t="s">
        <v>20</v>
      </c>
    </row>
    <row r="5" spans="1:18" ht="26" hidden="1">
      <c r="A5" s="247">
        <v>25</v>
      </c>
      <c r="B5" s="248" t="s">
        <v>1154</v>
      </c>
      <c r="C5" s="248" t="s">
        <v>1155</v>
      </c>
      <c r="D5" s="249" t="s">
        <v>1156</v>
      </c>
      <c r="E5" s="249" t="s">
        <v>1046</v>
      </c>
      <c r="F5" s="249" t="s">
        <v>1181</v>
      </c>
      <c r="G5" s="250">
        <v>2</v>
      </c>
      <c r="H5" s="248" t="s">
        <v>1159</v>
      </c>
      <c r="I5" s="248" t="s">
        <v>1182</v>
      </c>
      <c r="J5" s="248" t="s">
        <v>1183</v>
      </c>
      <c r="K5" s="248" t="s">
        <v>1184</v>
      </c>
      <c r="L5" s="248" t="s">
        <v>1185</v>
      </c>
      <c r="M5" s="248" t="s">
        <v>1186</v>
      </c>
      <c r="N5" s="248" t="s">
        <v>1187</v>
      </c>
      <c r="O5" s="248"/>
      <c r="P5" s="5" t="s">
        <v>1173</v>
      </c>
    </row>
    <row r="6" spans="1:18" ht="117">
      <c r="A6" s="247">
        <v>26</v>
      </c>
      <c r="B6" s="248" t="s">
        <v>1154</v>
      </c>
      <c r="C6" s="248" t="s">
        <v>1155</v>
      </c>
      <c r="D6" s="249" t="s">
        <v>1156</v>
      </c>
      <c r="E6" s="249" t="s">
        <v>1188</v>
      </c>
      <c r="F6" s="249" t="s">
        <v>1189</v>
      </c>
      <c r="G6" s="250">
        <v>1</v>
      </c>
      <c r="H6" s="248" t="s">
        <v>1159</v>
      </c>
      <c r="I6" s="248" t="s">
        <v>1168</v>
      </c>
      <c r="J6" s="248" t="s">
        <v>1190</v>
      </c>
      <c r="K6" s="248" t="s">
        <v>1191</v>
      </c>
      <c r="L6" s="248" t="s">
        <v>1192</v>
      </c>
      <c r="M6" s="248" t="s">
        <v>1193</v>
      </c>
      <c r="N6" s="248" t="s">
        <v>1194</v>
      </c>
      <c r="O6" s="248" t="s">
        <v>1195</v>
      </c>
      <c r="P6" s="5" t="s">
        <v>1166</v>
      </c>
      <c r="R6" s="5" t="s">
        <v>20</v>
      </c>
    </row>
    <row r="7" spans="1:18" ht="65" hidden="1">
      <c r="A7" s="247">
        <v>27</v>
      </c>
      <c r="B7" s="248" t="s">
        <v>1154</v>
      </c>
      <c r="C7" s="248" t="s">
        <v>1155</v>
      </c>
      <c r="D7" s="249" t="s">
        <v>1156</v>
      </c>
      <c r="E7" s="249" t="s">
        <v>1188</v>
      </c>
      <c r="F7" s="249" t="s">
        <v>1196</v>
      </c>
      <c r="G7" s="250">
        <v>1</v>
      </c>
      <c r="H7" s="248" t="s">
        <v>1159</v>
      </c>
      <c r="I7" s="248" t="s">
        <v>1168</v>
      </c>
      <c r="J7" s="248" t="s">
        <v>1197</v>
      </c>
      <c r="K7" s="248" t="s">
        <v>1198</v>
      </c>
      <c r="L7" s="248" t="s">
        <v>1199</v>
      </c>
      <c r="M7" s="248" t="s">
        <v>1199</v>
      </c>
      <c r="N7" s="248" t="s">
        <v>1199</v>
      </c>
      <c r="O7" s="248" t="s">
        <v>1200</v>
      </c>
      <c r="P7" s="5" t="s">
        <v>1173</v>
      </c>
      <c r="Q7" s="5" t="s">
        <v>1201</v>
      </c>
    </row>
    <row r="8" spans="1:18" ht="52" hidden="1">
      <c r="A8" s="247">
        <v>28</v>
      </c>
      <c r="B8" s="248" t="s">
        <v>1154</v>
      </c>
      <c r="C8" s="248" t="s">
        <v>1202</v>
      </c>
      <c r="D8" s="249" t="s">
        <v>1156</v>
      </c>
      <c r="E8" s="249" t="s">
        <v>1046</v>
      </c>
      <c r="F8" s="249" t="s">
        <v>1203</v>
      </c>
      <c r="G8" s="250">
        <v>1</v>
      </c>
      <c r="H8" s="248" t="s">
        <v>1204</v>
      </c>
      <c r="I8" s="248" t="s">
        <v>1205</v>
      </c>
      <c r="J8" s="248" t="s">
        <v>1206</v>
      </c>
      <c r="K8" s="248" t="s">
        <v>1207</v>
      </c>
      <c r="L8" s="248" t="s">
        <v>1208</v>
      </c>
      <c r="M8" s="248" t="s">
        <v>1209</v>
      </c>
      <c r="N8" s="248" t="s">
        <v>1210</v>
      </c>
      <c r="O8" s="248" t="s">
        <v>1211</v>
      </c>
      <c r="P8" s="5" t="s">
        <v>1173</v>
      </c>
      <c r="Q8" s="5" t="s">
        <v>1212</v>
      </c>
    </row>
    <row r="9" spans="1:18" ht="26" hidden="1">
      <c r="A9" s="247">
        <v>29</v>
      </c>
      <c r="B9" s="248" t="s">
        <v>1154</v>
      </c>
      <c r="C9" s="248" t="s">
        <v>1202</v>
      </c>
      <c r="D9" s="249" t="s">
        <v>1156</v>
      </c>
      <c r="E9" s="249" t="s">
        <v>1046</v>
      </c>
      <c r="F9" s="249" t="s">
        <v>1213</v>
      </c>
      <c r="G9" s="250">
        <v>1</v>
      </c>
      <c r="H9" s="248" t="s">
        <v>1159</v>
      </c>
      <c r="I9" s="248" t="s">
        <v>1214</v>
      </c>
      <c r="J9" s="248" t="s">
        <v>1215</v>
      </c>
      <c r="K9" s="248" t="s">
        <v>1216</v>
      </c>
      <c r="L9" s="248" t="s">
        <v>1217</v>
      </c>
      <c r="M9" s="248" t="s">
        <v>1218</v>
      </c>
      <c r="N9" s="248" t="s">
        <v>1219</v>
      </c>
      <c r="O9" s="248" t="s">
        <v>1220</v>
      </c>
      <c r="P9" s="5" t="s">
        <v>1173</v>
      </c>
    </row>
    <row r="10" spans="1:18" ht="143">
      <c r="A10" s="247">
        <v>30</v>
      </c>
      <c r="B10" s="248" t="s">
        <v>1154</v>
      </c>
      <c r="C10" s="248" t="s">
        <v>1221</v>
      </c>
      <c r="D10" s="249" t="s">
        <v>1156</v>
      </c>
      <c r="E10" s="249" t="s">
        <v>1188</v>
      </c>
      <c r="F10" s="249" t="s">
        <v>1222</v>
      </c>
      <c r="G10" s="250">
        <v>1</v>
      </c>
      <c r="H10" s="248" t="s">
        <v>1159</v>
      </c>
      <c r="I10" s="248" t="s">
        <v>1168</v>
      </c>
      <c r="J10" s="248" t="s">
        <v>1223</v>
      </c>
      <c r="K10" s="248" t="s">
        <v>1224</v>
      </c>
      <c r="L10" s="248" t="s">
        <v>1225</v>
      </c>
      <c r="M10" s="248" t="s">
        <v>1226</v>
      </c>
      <c r="N10" s="248" t="s">
        <v>1226</v>
      </c>
      <c r="O10" s="248" t="s">
        <v>1227</v>
      </c>
      <c r="P10" s="5" t="s">
        <v>1166</v>
      </c>
      <c r="R10" s="5" t="s">
        <v>20</v>
      </c>
    </row>
    <row r="11" spans="1:18" ht="65" hidden="1">
      <c r="A11" s="247">
        <v>31</v>
      </c>
      <c r="B11" s="248" t="s">
        <v>1154</v>
      </c>
      <c r="C11" s="248" t="s">
        <v>1221</v>
      </c>
      <c r="D11" s="249" t="s">
        <v>1156</v>
      </c>
      <c r="E11" s="249" t="s">
        <v>1188</v>
      </c>
      <c r="F11" s="249" t="s">
        <v>1228</v>
      </c>
      <c r="G11" s="250">
        <v>1</v>
      </c>
      <c r="H11" s="248" t="s">
        <v>1229</v>
      </c>
      <c r="I11" s="248" t="s">
        <v>1229</v>
      </c>
      <c r="J11" s="1"/>
      <c r="K11" s="1"/>
      <c r="L11" s="1"/>
      <c r="M11" s="1"/>
      <c r="N11" s="248"/>
      <c r="O11" s="248"/>
      <c r="P11" s="5" t="s">
        <v>1173</v>
      </c>
    </row>
    <row r="12" spans="1:18" ht="26" hidden="1">
      <c r="A12" s="247">
        <v>32</v>
      </c>
      <c r="B12" s="248" t="s">
        <v>1154</v>
      </c>
      <c r="C12" s="248" t="s">
        <v>1230</v>
      </c>
      <c r="D12" s="249" t="s">
        <v>1156</v>
      </c>
      <c r="E12" s="249" t="s">
        <v>1188</v>
      </c>
      <c r="F12" s="249" t="s">
        <v>1231</v>
      </c>
      <c r="G12" s="250">
        <v>2</v>
      </c>
      <c r="H12" s="248" t="s">
        <v>1159</v>
      </c>
      <c r="I12" s="248" t="s">
        <v>1168</v>
      </c>
      <c r="J12" s="248" t="s">
        <v>1232</v>
      </c>
      <c r="K12" s="248" t="s">
        <v>1233</v>
      </c>
      <c r="L12" s="248" t="s">
        <v>1234</v>
      </c>
      <c r="M12" s="248" t="s">
        <v>1235</v>
      </c>
      <c r="N12" s="248" t="s">
        <v>1235</v>
      </c>
      <c r="O12" s="248"/>
      <c r="P12" s="5" t="s">
        <v>1173</v>
      </c>
    </row>
  </sheetData>
  <autoFilter ref="A1:R12" xr:uid="{58763645-C343-48DE-A7D2-FC2456AAE1B3}">
    <filterColumn colId="17">
      <customFilters>
        <customFilter operator="notEqual" val=" "/>
      </customFilters>
    </filterColumn>
  </autoFilter>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6D7C6-4823-442C-860F-0AA8390E8C0A}">
  <sheetPr filterMode="1">
    <outlinePr summaryBelow="0" summaryRight="0"/>
  </sheetPr>
  <dimension ref="A1:S1000"/>
  <sheetViews>
    <sheetView topLeftCell="C1" zoomScale="85" zoomScaleNormal="85" workbookViewId="0">
      <pane ySplit="2" topLeftCell="A41" activePane="bottomLeft" state="frozen"/>
      <selection pane="bottomLeft" activeCell="H44" sqref="H44"/>
    </sheetView>
  </sheetViews>
  <sheetFormatPr defaultColWidth="14.453125" defaultRowHeight="15.75" customHeight="1"/>
  <cols>
    <col min="1" max="1" width="5.453125" style="150" customWidth="1"/>
    <col min="2" max="2" width="9.6328125" style="150" customWidth="1"/>
    <col min="3" max="5" width="14.453125" style="150"/>
    <col min="6" max="6" width="24.36328125" style="150" customWidth="1"/>
    <col min="7" max="7" width="14.453125" style="150"/>
    <col min="8" max="8" width="13.6328125" style="150" customWidth="1"/>
    <col min="9" max="9" width="15.453125" style="150" customWidth="1"/>
    <col min="10" max="13" width="14.453125" style="150"/>
    <col min="14" max="18" width="21.453125" style="150" customWidth="1"/>
    <col min="19" max="19" width="45.36328125" style="150" customWidth="1"/>
    <col min="20" max="16384" width="14.453125" style="150"/>
  </cols>
  <sheetData>
    <row r="1" spans="1:19" ht="14" hidden="1">
      <c r="A1" s="147" t="str">
        <f ca="1">IFERROR(__xludf.DUMMYFUNCTION("importrange(""1EW0LkOygSDIHN0UHYA-HW_zFtCDzNW3pdxs6hCOrkvw"",""Consensus Results for Sharing!A1:p300"")"),"")</f>
        <v/>
      </c>
      <c r="B1" s="148"/>
      <c r="C1" s="148"/>
      <c r="D1" s="148"/>
      <c r="E1" s="148"/>
      <c r="F1" s="148"/>
      <c r="G1" s="148"/>
      <c r="H1" s="148"/>
      <c r="I1" s="148"/>
      <c r="J1" s="148"/>
      <c r="K1" s="148"/>
      <c r="L1" s="148"/>
      <c r="M1" s="148"/>
      <c r="N1" s="149"/>
      <c r="O1" s="149"/>
      <c r="P1" s="149"/>
      <c r="Q1" s="149"/>
      <c r="R1" s="149"/>
      <c r="S1" s="148"/>
    </row>
    <row r="2" spans="1:19" ht="32.25" customHeight="1">
      <c r="A2" s="151" t="str">
        <f ca="1">IFERROR(__xludf.DUMMYFUNCTION("""COMPUTED_VALUE"""),"num")</f>
        <v>num</v>
      </c>
      <c r="B2" s="151" t="str">
        <f ca="1">IFERROR(__xludf.DUMMYFUNCTION("""COMPUTED_VALUE"""),"Sector")</f>
        <v>Sector</v>
      </c>
      <c r="C2" s="152" t="str">
        <f ca="1">IFERROR(__xludf.DUMMYFUNCTION("""COMPUTED_VALUE"""),"Sub- sector")</f>
        <v>Sub- sector</v>
      </c>
      <c r="D2" s="152" t="str">
        <f ca="1">IFERROR(__xludf.DUMMYFUNCTION("""COMPUTED_VALUE"""),"Pillar")</f>
        <v>Pillar</v>
      </c>
      <c r="E2" s="152" t="str">
        <f ca="1">IFERROR(__xludf.DUMMYFUNCTION("""COMPUTED_VALUE"""),"Sub pillar")</f>
        <v>Sub pillar</v>
      </c>
      <c r="F2" s="152" t="str">
        <f ca="1">IFERROR(__xludf.DUMMYFUNCTION("""COMPUTED_VALUE"""),"Indicator Name/label")</f>
        <v>Indicator Name/label</v>
      </c>
      <c r="G2" s="152" t="str">
        <f ca="1">IFERROR(__xludf.DUMMYFUNCTION("""COMPUTED_VALUE"""),"Forecast indicators")</f>
        <v>Forecast indicators</v>
      </c>
      <c r="H2" s="238" t="s">
        <v>1143</v>
      </c>
      <c r="I2" s="238" t="s">
        <v>1142</v>
      </c>
      <c r="J2" s="238" t="s">
        <v>1141</v>
      </c>
      <c r="K2" s="152" t="str">
        <f ca="1">IFERROR(__xludf.DUMMYFUNCTION("""COMPUTED_VALUE"""),"JIAF Priority level")</f>
        <v>JIAF Priority level</v>
      </c>
      <c r="L2" s="152" t="str">
        <f ca="1">IFERROR(__xludf.DUMMYFUNCTION("""COMPUTED_VALUE"""),"Data collection technique")</f>
        <v>Data collection technique</v>
      </c>
      <c r="M2" s="152" t="str">
        <f ca="1">IFERROR(__xludf.DUMMYFUNCTION("""COMPUTED_VALUE"""),"Recommended source")</f>
        <v>Recommended source</v>
      </c>
      <c r="N2" s="153">
        <f ca="1">IFERROR(__xludf.DUMMYFUNCTION("""COMPUTED_VALUE"""),1)</f>
        <v>1</v>
      </c>
      <c r="O2" s="154">
        <f ca="1">IFERROR(__xludf.DUMMYFUNCTION("""COMPUTED_VALUE"""),2)</f>
        <v>2</v>
      </c>
      <c r="P2" s="155">
        <f ca="1">IFERROR(__xludf.DUMMYFUNCTION("""COMPUTED_VALUE"""),3)</f>
        <v>3</v>
      </c>
      <c r="Q2" s="156">
        <f ca="1">IFERROR(__xludf.DUMMYFUNCTION("""COMPUTED_VALUE"""),4)</f>
        <v>4</v>
      </c>
      <c r="R2" s="157">
        <f ca="1">IFERROR(__xludf.DUMMYFUNCTION("""COMPUTED_VALUE"""),5)</f>
        <v>5</v>
      </c>
      <c r="S2" s="158" t="str">
        <f ca="1">IFERROR(__xludf.DUMMYFUNCTION("""COMPUTED_VALUE"""),"Notes from indicator owner")</f>
        <v>Notes from indicator owner</v>
      </c>
    </row>
    <row r="3" spans="1:19" ht="105" hidden="1" customHeight="1">
      <c r="A3" s="159">
        <f ca="1">IFERROR(__xludf.DUMMYFUNCTION("""COMPUTED_VALUE"""),1)</f>
        <v>1</v>
      </c>
      <c r="B3" s="160" t="str">
        <f ca="1">IFERROR(__xludf.DUMMYFUNCTION("""COMPUTED_VALUE"""),"CCCM")</f>
        <v>CCCM</v>
      </c>
      <c r="C3" s="161"/>
      <c r="D3" s="162" t="str">
        <f ca="1">IFERROR(__xludf.DUMMYFUNCTION("""COMPUTED_VALUE"""),"Humanitarian Conditions")</f>
        <v>Humanitarian Conditions</v>
      </c>
      <c r="E3" s="162" t="str">
        <f ca="1">IFERROR(__xludf.DUMMYFUNCTION("""COMPUTED_VALUE"""),"Living Standards")</f>
        <v>Living Standards</v>
      </c>
      <c r="F3" s="160" t="str">
        <f ca="1">IFERROR(__xludf.DUMMYFUNCTION("""COMPUTED_VALUE"""),"% of population in sites with access to functioning complaints and feedback mechanisms")</f>
        <v>% of population in sites with access to functioning complaints and feedback mechanisms</v>
      </c>
      <c r="G3" s="161"/>
      <c r="H3" s="161"/>
      <c r="I3" s="161"/>
      <c r="J3" s="161"/>
      <c r="K3" s="163">
        <f ca="1">IFERROR(__xludf.DUMMYFUNCTION("""COMPUTED_VALUE"""),1)</f>
        <v>1</v>
      </c>
      <c r="L3" s="161" t="str">
        <f ca="1">IFERROR(__xludf.DUMMYFUNCTION("""COMPUTED_VALUE"""),"HH survey / KI")</f>
        <v>HH survey / KI</v>
      </c>
      <c r="M3" s="161" t="str">
        <f ca="1">IFERROR(__xludf.DUMMYFUNCTION("""COMPUTED_VALUE"""),"CCCM Cluster")</f>
        <v>CCCM Cluster</v>
      </c>
      <c r="N3" s="164" t="str">
        <f ca="1">IFERROR(__xludf.DUMMYFUNCTION("""COMPUTED_VALUE"""),"All four of the following criteria met:
 HH is aware of the existence of CFM;
 the CFM is easy to use;
 the CFM is appropriate for the population (no language, gender or imparement limitations);
 it's trusted for confidentiality, response, timeliness and "&amp;"sensitive issues")</f>
        <v>All four of the following criteria met:
 HH is aware of the existence of CFM;
 the CFM is easy to use;
 the CFM is appropriate for the population (no language, gender or imparement limitations);
 it's trusted for confidentiality, response, timeliness and sensitive issues</v>
      </c>
      <c r="O3" s="164" t="str">
        <f ca="1">IFERROR(__xludf.DUMMYFUNCTION("""COMPUTED_VALUE"""),"Three of the following criteria met:
 HH is aware of the existence of CFM;
 the CFM is easy to use;
 the CFM is appropriate for the population (no language, gender or imparement limitations);
 it's trusted for confidentiality, response, timeliness and sen"&amp;"sitive issues")</f>
        <v>Three of the following criteria met:
 HH is aware of the existence of CFM;
 the CFM is easy to use;
 the CFM is appropriate for the population (no language, gender or imparement limitations);
 it's trusted for confidentiality, response, timeliness and sensitive issues</v>
      </c>
      <c r="P3" s="164" t="str">
        <f ca="1">IFERROR(__xludf.DUMMYFUNCTION("""COMPUTED_VALUE"""),"Two of the following criteria met:
 HH is aware of the existence of CFM;
 the CFM is easy to use;
 the CFM is appropriate for the population (no language, gender or imparement limitations);
 it's trusted for confidentiality, response, timeliness and sensi"&amp;"tive issues")</f>
        <v>Two of the following criteria met:
 HH is aware of the existence of CFM;
 the CFM is easy to use;
 the CFM is appropriate for the population (no language, gender or imparement limitations);
 it's trusted for confidentiality, response, timeliness and sensitive issues</v>
      </c>
      <c r="Q3" s="164" t="str">
        <f ca="1">IFERROR(__xludf.DUMMYFUNCTION("""COMPUTED_VALUE"""),"One of the following criteria met:
 HH is aware of the existence of CFM;
 the CFM is easy to use;
 the CFM is appropriate for the population (no language, gender or imparement limitations);
 it's trusted for confidentiality, response, timeliness and sensi"&amp;"tive issues")</f>
        <v>One of the following criteria met:
 HH is aware of the existence of CFM;
 the CFM is easy to use;
 the CFM is appropriate for the population (no language, gender or imparement limitations);
 it's trusted for confidentiality, response, timeliness and sensitive issues</v>
      </c>
      <c r="R3" s="164" t="str">
        <f ca="1">IFERROR(__xludf.DUMMYFUNCTION("""COMPUTED_VALUE"""),"None of the following criteria met:
 HH is aware of the existence of CFM;
 the CFM is easy to use;
 the CFM is appropriate for the population (no language, gender or imparement limitations);
 it's trusted for confidentiality, response, timeliness and sens"&amp;"itive issues")</f>
        <v>None of the following criteria met:
 HH is aware of the existence of CFM;
 the CFM is easy to use;
 the CFM is appropriate for the population (no language, gender or imparement limitations);
 it's trusted for confidentiality, response, timeliness and sensitive issues</v>
      </c>
      <c r="S3" s="161"/>
    </row>
    <row r="4" spans="1:19" ht="105" hidden="1" customHeight="1">
      <c r="A4" s="159">
        <f ca="1">IFERROR(__xludf.DUMMYFUNCTION("""COMPUTED_VALUE"""),2)</f>
        <v>2</v>
      </c>
      <c r="B4" s="160" t="str">
        <f ca="1">IFERROR(__xludf.DUMMYFUNCTION("""COMPUTED_VALUE"""),"CCCM")</f>
        <v>CCCM</v>
      </c>
      <c r="C4" s="161"/>
      <c r="D4" s="162" t="str">
        <f ca="1">IFERROR(__xludf.DUMMYFUNCTION("""COMPUTED_VALUE"""),"Humanitarian Conditions")</f>
        <v>Humanitarian Conditions</v>
      </c>
      <c r="E4" s="162" t="str">
        <f ca="1">IFERROR(__xludf.DUMMYFUNCTION("""COMPUTED_VALUE"""),"Living Standards")</f>
        <v>Living Standards</v>
      </c>
      <c r="F4" s="160" t="str">
        <f ca="1">IFERROR(__xludf.DUMMYFUNCTION("""COMPUTED_VALUE"""),"% of population in sites with appropriate site management services")</f>
        <v>% of population in sites with appropriate site management services</v>
      </c>
      <c r="G4" s="161"/>
      <c r="H4" s="161"/>
      <c r="I4" s="161"/>
      <c r="J4" s="161"/>
      <c r="K4" s="163">
        <f ca="1">IFERROR(__xludf.DUMMYFUNCTION("""COMPUTED_VALUE"""),1)</f>
        <v>1</v>
      </c>
      <c r="L4" s="161" t="str">
        <f ca="1">IFERROR(__xludf.DUMMYFUNCTION("""COMPUTED_VALUE"""),"KI")</f>
        <v>KI</v>
      </c>
      <c r="M4" s="161" t="str">
        <f ca="1">IFERROR(__xludf.DUMMYFUNCTION("""COMPUTED_VALUE"""),"CCCM Cluster")</f>
        <v>CCCM Cluster</v>
      </c>
      <c r="N4" s="164" t="str">
        <f ca="1">IFERROR(__xludf.DUMMYFUNCTION("""COMPUTED_VALUE"""),"Size or type of site that does not require site management activities")</f>
        <v>Size or type of site that does not require site management activities</v>
      </c>
      <c r="O4" s="164" t="str">
        <f ca="1">IFERROR(__xludf.DUMMYFUNCTION("""COMPUTED_VALUE"""),"Size or type of site that requires infrequent or low level of site management activities")</f>
        <v>Size or type of site that requires infrequent or low level of site management activities</v>
      </c>
      <c r="P4" s="164" t="str">
        <f ca="1">IFERROR(__xludf.DUMMYFUNCTION("""COMPUTED_VALUE"""),"Size or type of site that requires a moderate range of site managemnt services")</f>
        <v>Size or type of site that requires a moderate range of site managemnt services</v>
      </c>
      <c r="Q4" s="164" t="str">
        <f ca="1">IFERROR(__xludf.DUMMYFUNCTION("""COMPUTED_VALUE"""),"Size or type of site that requires a wide range of site management service")</f>
        <v>Size or type of site that requires a wide range of site management service</v>
      </c>
      <c r="R4" s="164" t="str">
        <f ca="1">IFERROR(__xludf.DUMMYFUNCTION("""COMPUTED_VALUE"""),"Size or type of site that requires a comprehensive range of site management services")</f>
        <v>Size or type of site that requires a comprehensive range of site management services</v>
      </c>
      <c r="S4" s="161"/>
    </row>
    <row r="5" spans="1:19" ht="105" hidden="1" customHeight="1">
      <c r="A5" s="159">
        <f ca="1">IFERROR(__xludf.DUMMYFUNCTION("""COMPUTED_VALUE"""),3)</f>
        <v>3</v>
      </c>
      <c r="B5" s="160" t="str">
        <f ca="1">IFERROR(__xludf.DUMMYFUNCTION("""COMPUTED_VALUE"""),"CCCM")</f>
        <v>CCCM</v>
      </c>
      <c r="C5" s="161"/>
      <c r="D5" s="162" t="str">
        <f ca="1">IFERROR(__xludf.DUMMYFUNCTION("""COMPUTED_VALUE"""),"Humanitarian Conditions")</f>
        <v>Humanitarian Conditions</v>
      </c>
      <c r="E5" s="162" t="str">
        <f ca="1">IFERROR(__xludf.DUMMYFUNCTION("""COMPUTED_VALUE"""),"Living Standards")</f>
        <v>Living Standards</v>
      </c>
      <c r="F5" s="160" t="str">
        <f ca="1">IFERROR(__xludf.DUMMYFUNCTION("""COMPUTED_VALUE"""),"% of population in sites with inclusive and representative governance structures")</f>
        <v>% of population in sites with inclusive and representative governance structures</v>
      </c>
      <c r="G5" s="161"/>
      <c r="H5" s="161"/>
      <c r="I5" s="161"/>
      <c r="J5" s="161"/>
      <c r="K5" s="163">
        <f ca="1">IFERROR(__xludf.DUMMYFUNCTION("""COMPUTED_VALUE"""),1)</f>
        <v>1</v>
      </c>
      <c r="L5" s="161" t="str">
        <f ca="1">IFERROR(__xludf.DUMMYFUNCTION("""COMPUTED_VALUE"""),"HH survey / KI")</f>
        <v>HH survey / KI</v>
      </c>
      <c r="M5" s="161" t="str">
        <f ca="1">IFERROR(__xludf.DUMMYFUNCTION("""COMPUTED_VALUE"""),"CCCM Cluster")</f>
        <v>CCCM Cluster</v>
      </c>
      <c r="N5" s="164" t="str">
        <f ca="1">IFERROR(__xludf.DUMMYFUNCTION("""COMPUTED_VALUE"""),"All of the following criteria met: governance structures are representative of the site population; decision-making procesesses include view of women, children, vulnerable groups and host community; governance structures are accountable; governance repres"&amp;"entatives have sufficent capacity and resources")</f>
        <v>All of the following criteria met: governance structures are representative of the site population; decision-making procesesses include view of women, children, vulnerable groups and host community; governance structures are accountable; governance representatives have sufficent capacity and resources</v>
      </c>
      <c r="O5" s="164" t="str">
        <f ca="1">IFERROR(__xludf.DUMMYFUNCTION("""COMPUTED_VALUE"""),"Three of the following criteria met:
 governance structures are representative of the site population; decision-making procesesses include view of women, children, vulnerable groups and host community; governance structures are accountable; governance rep"&amp;"resentatives have sufficent capacity and resources")</f>
        <v>Three of the following criteria met:
 governance structures are representative of the site population; decision-making procesesses include view of women, children, vulnerable groups and host community; governance structures are accountable; governance representatives have sufficent capacity and resources</v>
      </c>
      <c r="P5" s="164" t="str">
        <f ca="1">IFERROR(__xludf.DUMMYFUNCTION("""COMPUTED_VALUE"""),"Two of the following criteria met: 
 governance structures are representative of the site population; decision-making procesesses include view of women, children, vulnerable groups and host community; governance structures are accountable; governance repr"&amp;"esentatives have sufficent capacity and resources")</f>
        <v>Two of the following criteria met: 
 governance structures are representative of the site population; decision-making procesesses include view of women, children, vulnerable groups and host community; governance structures are accountable; governance representatives have sufficent capacity and resources</v>
      </c>
      <c r="Q5" s="164" t="str">
        <f ca="1">IFERROR(__xludf.DUMMYFUNCTION("""COMPUTED_VALUE"""),"One of the following criteria met: 
 governance structures are representative of the site population; decision-making procesesses include view of women, children, vulnerable groups and host community; governance structures are accountable; governance repr"&amp;"esentatives have sufficent capacity and resources")</f>
        <v>One of the following criteria met: 
 governance structures are representative of the site population; decision-making procesesses include view of women, children, vulnerable groups and host community; governance structures are accountable; governance representatives have sufficent capacity and resources</v>
      </c>
      <c r="R5" s="164" t="str">
        <f ca="1">IFERROR(__xludf.DUMMYFUNCTION("""COMPUTED_VALUE"""),"None of the following criteria met: 
 governance structures are representative of the site population; decision-making procesesses include view of women, children, vulnerable groups and host community; governance structures are accountable; governance rep"&amp;"resentatives have sufficent capacity and resources")</f>
        <v>None of the following criteria met: 
 governance structures are representative of the site population; decision-making procesesses include view of women, children, vulnerable groups and host community; governance structures are accountable; governance representatives have sufficent capacity and resources</v>
      </c>
      <c r="S5" s="161"/>
    </row>
    <row r="6" spans="1:19" ht="105" hidden="1" customHeight="1">
      <c r="A6" s="159">
        <f ca="1">IFERROR(__xludf.DUMMYFUNCTION("""COMPUTED_VALUE"""),4)</f>
        <v>4</v>
      </c>
      <c r="B6" s="160" t="str">
        <f ca="1">IFERROR(__xludf.DUMMYFUNCTION("""COMPUTED_VALUE"""),"CCCM")</f>
        <v>CCCM</v>
      </c>
      <c r="C6" s="161"/>
      <c r="D6" s="162" t="str">
        <f ca="1">IFERROR(__xludf.DUMMYFUNCTION("""COMPUTED_VALUE"""),"Humanitarian Conditions")</f>
        <v>Humanitarian Conditions</v>
      </c>
      <c r="E6" s="162" t="str">
        <f ca="1">IFERROR(__xludf.DUMMYFUNCTION("""COMPUTED_VALUE"""),"Living Standards")</f>
        <v>Living Standards</v>
      </c>
      <c r="F6" s="160" t="str">
        <f ca="1">IFERROR(__xludf.DUMMYFUNCTION("""COMPUTED_VALUE"""),"% of population with access to basic services within walking distance")</f>
        <v>% of population with access to basic services within walking distance</v>
      </c>
      <c r="G6" s="161"/>
      <c r="H6" s="161"/>
      <c r="I6" s="161"/>
      <c r="J6" s="161"/>
      <c r="K6" s="163">
        <f ca="1">IFERROR(__xludf.DUMMYFUNCTION("""COMPUTED_VALUE"""),1)</f>
        <v>1</v>
      </c>
      <c r="L6" s="161" t="str">
        <f ca="1">IFERROR(__xludf.DUMMYFUNCTION("""COMPUTED_VALUE"""),"HH survey / KI")</f>
        <v>HH survey / KI</v>
      </c>
      <c r="M6" s="161" t="str">
        <f ca="1">IFERROR(__xludf.DUMMYFUNCTION("""COMPUTED_VALUE"""),"CCCM Cluster")</f>
        <v>CCCM Cluster</v>
      </c>
      <c r="N6" s="164" t="str">
        <f ca="1">IFERROR(__xludf.DUMMYFUNCTION("""COMPUTED_VALUE"""),"All basic services are available within a 30 min walking distance (one way)")</f>
        <v>All basic services are available within a 30 min walking distance (one way)</v>
      </c>
      <c r="O6" s="164" t="str">
        <f ca="1">IFERROR(__xludf.DUMMYFUNCTION("""COMPUTED_VALUE"""),"All basic services are available within a one hour walking distance (one way)")</f>
        <v>All basic services are available within a one hour walking distance (one way)</v>
      </c>
      <c r="P6" s="164" t="str">
        <f ca="1">IFERROR(__xludf.DUMMYFUNCTION("""COMPUTED_VALUE"""),"All basic services are available within a 1h30 walking distance (one way)")</f>
        <v>All basic services are available within a 1h30 walking distance (one way)</v>
      </c>
      <c r="Q6" s="164" t="str">
        <f ca="1">IFERROR(__xludf.DUMMYFUNCTION("""COMPUTED_VALUE"""),"All basic services are available within a 2 hours walking distance (one way)")</f>
        <v>All basic services are available within a 2 hours walking distance (one way)</v>
      </c>
      <c r="R6" s="164" t="str">
        <f ca="1">IFERROR(__xludf.DUMMYFUNCTION("""COMPUTED_VALUE"""),"No basic services are available within a 2 hours walking distance (one way)")</f>
        <v>No basic services are available within a 2 hours walking distance (one way)</v>
      </c>
      <c r="S6" s="161" t="str">
        <f ca="1">IFERROR(__xludf.DUMMYFUNCTION("""COMPUTED_VALUE"""),"Basic services should be defined at country level: Drinking water, primary and secondary schools, food market, NFI market, Shelter construction market, health center, hospital, pharmacy, veterinary services, transport services, water, electricity, livesto"&amp;"ck market, waste removal, communication device. Distance should be collected for each service. If data is collected at the HH level, then ask from the house. if data is collected from KI, then specify if from the center of the camp or a cleary localized s"&amp;"pot. We are not checking here distance to personal itemas such as latrines etc, only  community services.")</f>
        <v>Basic services should be defined at country level: Drinking water, primary and secondary schools, food market, NFI market, Shelter construction market, health center, hospital, pharmacy, veterinary services, transport services, water, electricity, livestock market, waste removal, communication device. Distance should be collected for each service. If data is collected at the HH level, then ask from the house. if data is collected from KI, then specify if from the center of the camp or a cleary localized spot. We are not checking here distance to personal itemas such as latrines etc, only  community services.</v>
      </c>
    </row>
    <row r="7" spans="1:19" ht="105" hidden="1" customHeight="1">
      <c r="A7" s="159">
        <f ca="1">IFERROR(__xludf.DUMMYFUNCTION("""COMPUTED_VALUE"""),5)</f>
        <v>5</v>
      </c>
      <c r="B7" s="160" t="str">
        <f ca="1">IFERROR(__xludf.DUMMYFUNCTION("""COMPUTED_VALUE"""),"CCCM")</f>
        <v>CCCM</v>
      </c>
      <c r="C7" s="161"/>
      <c r="D7" s="162" t="str">
        <f ca="1">IFERROR(__xludf.DUMMYFUNCTION("""COMPUTED_VALUE"""),"Impact")</f>
        <v>Impact</v>
      </c>
      <c r="E7" s="162" t="str">
        <f ca="1">IFERROR(__xludf.DUMMYFUNCTION("""COMPUTED_VALUE"""),"Impact on people")</f>
        <v>Impact on people</v>
      </c>
      <c r="F7" s="160" t="str">
        <f ca="1">IFERROR(__xludf.DUMMYFUNCTION("""COMPUTED_VALUE"""),"% of population in sites")</f>
        <v>% of population in sites</v>
      </c>
      <c r="G7" s="161" t="str">
        <f ca="1">IFERROR(__xludf.DUMMYFUNCTION("""COMPUTED_VALUE"""),"Projected % increase of population in sites over the next XX months 
Projected % of population in sites likely to remain in the next XX months")</f>
        <v>Projected % increase of population in sites over the next XX months 
Projected % of population in sites likely to remain in the next XX months</v>
      </c>
      <c r="H7" s="161"/>
      <c r="I7" s="161"/>
      <c r="J7" s="161"/>
      <c r="K7" s="163">
        <f ca="1">IFERROR(__xludf.DUMMYFUNCTION("""COMPUTED_VALUE"""),0)</f>
        <v>0</v>
      </c>
      <c r="L7" s="161" t="str">
        <f ca="1">IFERROR(__xludf.DUMMYFUNCTION("""COMPUTED_VALUE"""),"KI")</f>
        <v>KI</v>
      </c>
      <c r="M7" s="161" t="str">
        <f ca="1">IFERROR(__xludf.DUMMYFUNCTION("""COMPUTED_VALUE"""),"CCCM Cluster")</f>
        <v>CCCM Cluster</v>
      </c>
      <c r="N7" s="164"/>
      <c r="O7" s="164"/>
      <c r="P7" s="164"/>
      <c r="Q7" s="164"/>
      <c r="R7" s="164"/>
      <c r="S7" s="161"/>
    </row>
    <row r="8" spans="1:19" ht="105" hidden="1" customHeight="1">
      <c r="A8" s="159">
        <f ca="1">IFERROR(__xludf.DUMMYFUNCTION("""COMPUTED_VALUE"""),6)</f>
        <v>6</v>
      </c>
      <c r="B8" s="160" t="str">
        <f ca="1">IFERROR(__xludf.DUMMYFUNCTION("""COMPUTED_VALUE"""),"CCCM")</f>
        <v>CCCM</v>
      </c>
      <c r="C8" s="161"/>
      <c r="D8" s="162" t="str">
        <f ca="1">IFERROR(__xludf.DUMMYFUNCTION("""COMPUTED_VALUE"""),"Impact")</f>
        <v>Impact</v>
      </c>
      <c r="E8" s="162" t="str">
        <f ca="1">IFERROR(__xludf.DUMMYFUNCTION("""COMPUTED_VALUE"""),"Impact on Services")</f>
        <v>Impact on Services</v>
      </c>
      <c r="F8" s="160" t="str">
        <f ca="1">IFERROR(__xludf.DUMMYFUNCTION("""COMPUTED_VALUE"""),"% of population in sites that are physically and socially appropriate site environments")</f>
        <v>% of population in sites that are physically and socially appropriate site environments</v>
      </c>
      <c r="G8" s="161"/>
      <c r="H8" s="161"/>
      <c r="I8" s="161"/>
      <c r="J8" s="161"/>
      <c r="K8" s="163">
        <f ca="1">IFERROR(__xludf.DUMMYFUNCTION("""COMPUTED_VALUE"""),1)</f>
        <v>1</v>
      </c>
      <c r="L8" s="161" t="str">
        <f ca="1">IFERROR(__xludf.DUMMYFUNCTION("""COMPUTED_VALUE"""),"HH survey / KI")</f>
        <v>HH survey / KI</v>
      </c>
      <c r="M8" s="161" t="str">
        <f ca="1">IFERROR(__xludf.DUMMYFUNCTION("""COMPUTED_VALUE"""),"CCCM Cluster")</f>
        <v>CCCM Cluster</v>
      </c>
      <c r="N8" s="164" t="str">
        <f ca="1">IFERROR(__xludf.DUMMYFUNCTION("""COMPUTED_VALUE"""),"All four of the following criteria met:
 The site is not located in an area of high risk of natural hazards (flooding, landslide etc)
 The site has a functional and appropriate administrative space;
 The site has functional and appropriate social and comm"&amp;"unal spaces;
 Site facilities are maintained")</f>
        <v>All four of the following criteria met:
 The site is not located in an area of high risk of natural hazards (flooding, landslide etc)
 The site has a functional and appropriate administrative space;
 The site has functional and appropriate social and communal spaces;
 Site facilities are maintained</v>
      </c>
      <c r="O8" s="164" t="str">
        <f ca="1">IFERROR(__xludf.DUMMYFUNCTION("""COMPUTED_VALUE"""),"Three of the following criteria met:
 The site is not located in an area of high risk of natural hazards (flooding, landslide etc)
 The site has a functional and appropriate administrative space;
 The site has functional and appropriate social and communa"&amp;"l spaces;
 Site facilities are maintained")</f>
        <v>Three of the following criteria met:
 The site is not located in an area of high risk of natural hazards (flooding, landslide etc)
 The site has a functional and appropriate administrative space;
 The site has functional and appropriate social and communal spaces;
 Site facilities are maintained</v>
      </c>
      <c r="P8" s="164" t="str">
        <f ca="1">IFERROR(__xludf.DUMMYFUNCTION("""COMPUTED_VALUE"""),"Two of the following criteria met:
 The site is not located in an area of high risk of natural hazards (flooding, landslide etc)
 The site has a functional and appropriate administrative space;
 The site has functional and appropriate social and communal "&amp;"spaces;
 Site facilities are maintained")</f>
        <v>Two of the following criteria met:
 The site is not located in an area of high risk of natural hazards (flooding, landslide etc)
 The site has a functional and appropriate administrative space;
 The site has functional and appropriate social and communal spaces;
 Site facilities are maintained</v>
      </c>
      <c r="Q8" s="164" t="str">
        <f ca="1">IFERROR(__xludf.DUMMYFUNCTION("""COMPUTED_VALUE"""),"One of the following criteria met:
 The site is not located in an area of high risk of natural hazards (flooding, landslide etc)
 The site has a functional and appropriate administrative space;
 The site has functional and appropriate social and communal "&amp;"spaces;
 Site facilities are maintained")</f>
        <v>One of the following criteria met:
 The site is not located in an area of high risk of natural hazards (flooding, landslide etc)
 The site has a functional and appropriate administrative space;
 The site has functional and appropriate social and communal spaces;
 Site facilities are maintained</v>
      </c>
      <c r="R8" s="164" t="str">
        <f ca="1">IFERROR(__xludf.DUMMYFUNCTION("""COMPUTED_VALUE"""),"None of the following criteria met:
 The site is not located in an area of high risk of natural hazards (flooding, landslide etc)
 The site has a functional and appropriate administrative space;
 The site has functional and appropriate social and communal"&amp;" spaces;
 Site facilities are maintained")</f>
        <v>None of the following criteria met:
 The site is not located in an area of high risk of natural hazards (flooding, landslide etc)
 The site has a functional and appropriate administrative space;
 The site has functional and appropriate social and communal spaces;
 Site facilities are maintained</v>
      </c>
      <c r="S8" s="161"/>
    </row>
    <row r="9" spans="1:19" ht="105" hidden="1" customHeight="1">
      <c r="A9" s="159">
        <f ca="1">IFERROR(__xludf.DUMMYFUNCTION("""COMPUTED_VALUE"""),7)</f>
        <v>7</v>
      </c>
      <c r="B9" s="165" t="str">
        <f ca="1">IFERROR(__xludf.DUMMYFUNCTION("""COMPUTED_VALUE"""),"Cross")</f>
        <v>Cross</v>
      </c>
      <c r="C9" s="165" t="str">
        <f ca="1">IFERROR(__xludf.DUMMYFUNCTION("""COMPUTED_VALUE"""),"Disability")</f>
        <v>Disability</v>
      </c>
      <c r="D9" s="166" t="str">
        <f ca="1">IFERROR(__xludf.DUMMYFUNCTION("""COMPUTED_VALUE"""),"Humanitarian conditions")</f>
        <v>Humanitarian conditions</v>
      </c>
      <c r="E9" s="166" t="str">
        <f ca="1">IFERROR(__xludf.DUMMYFUNCTION("""COMPUTED_VALUE"""),"Physical and Mental Wellbeing")</f>
        <v>Physical and Mental Wellbeing</v>
      </c>
      <c r="F9" s="166" t="str">
        <f ca="1">IFERROR(__xludf.DUMMYFUNCTION("""COMPUTED_VALUE"""),"% of the population identified as having disabilities (in line with the Washington Group Questions)")</f>
        <v>% of the population identified as having disabilities (in line with the Washington Group Questions)</v>
      </c>
      <c r="G9" s="165"/>
      <c r="H9" s="165"/>
      <c r="I9" s="165"/>
      <c r="J9" s="165"/>
      <c r="K9" s="167">
        <f ca="1">IFERROR(__xludf.DUMMYFUNCTION("""COMPUTED_VALUE"""),1)</f>
        <v>1</v>
      </c>
      <c r="L9" s="165" t="str">
        <f ca="1">IFERROR(__xludf.DUMMYFUNCTION("""COMPUTED_VALUE"""),"HH survey")</f>
        <v>HH survey</v>
      </c>
      <c r="M9" s="165" t="str">
        <f ca="1">IFERROR(__xludf.DUMMYFUNCTION("""COMPUTED_VALUE"""),"HH or Individual level survey")</f>
        <v>HH or Individual level survey</v>
      </c>
      <c r="N9" s="166" t="str">
        <f ca="1">IFERROR(__xludf.DUMMYFUNCTION("""COMPUTED_VALUE"""),"All domains are no difficulties")</f>
        <v>All domains are no difficulties</v>
      </c>
      <c r="O9" s="166" t="str">
        <f ca="1">IFERROR(__xludf.DUMMYFUNCTION("""COMPUTED_VALUE"""),"No domain is a lot of difficulties or cannot do at all, 1, 2, or 3 domains are some difficulties")</f>
        <v>No domain is a lot of difficulties or cannot do at all, 1, 2, or 3 domains are some difficulties</v>
      </c>
      <c r="P9" s="166" t="str">
        <f ca="1">IFERROR(__xludf.DUMMYFUNCTION("""COMPUTED_VALUE"""),"No domain is cannot do at all, 1, 2, or 3 domains are a lot of difficulties OR no domain is a lot of difficulties or cannot do at all; at least 4 domains are some difficulties")</f>
        <v>No domain is cannot do at all, 1, 2, or 3 domains are a lot of difficulties OR no domain is a lot of difficulties or cannot do at all; at least 4 domains are some difficulties</v>
      </c>
      <c r="Q9" s="166" t="str">
        <f ca="1">IFERROR(__xludf.DUMMYFUNCTION("""COMPUTED_VALUE"""),"No domain is cannot do at all, 1, 2, or 3 domains are a lot of difficulties OR no domain is a lot of difficulties or cannot do at all; at least 4 domains are some difficulties")</f>
        <v>No domain is cannot do at all, 1, 2, or 3 domains are a lot of difficulties OR no domain is a lot of difficulties or cannot do at all; at least 4 domains are some difficulties</v>
      </c>
      <c r="R9" s="166" t="str">
        <f ca="1">IFERROR(__xludf.DUMMYFUNCTION("""COMPUTED_VALUE"""),"At least 4 domains are cannot do all")</f>
        <v>At least 4 domains are cannot do all</v>
      </c>
      <c r="S9" s="165" t="str">
        <f ca="1">IFERROR(__xludf.DUMMYFUNCTION("""COMPUTED_VALUE"""),"These thresholds are for individuals - we are not sure how they can be used at the household/area level.  This indicator will likely have to be shifted slightly for use in JIAG so that it's not focused on % of population but rather by severity of disabili"&amp;"ties.  We are still following up on this.")</f>
        <v>These thresholds are for individuals - we are not sure how they can be used at the household/area level.  This indicator will likely have to be shifted slightly for use in JIAG so that it's not focused on % of population but rather by severity of disabilities.  We are still following up on this.</v>
      </c>
    </row>
    <row r="10" spans="1:19" ht="105" hidden="1" customHeight="1">
      <c r="A10" s="159">
        <f ca="1">IFERROR(__xludf.DUMMYFUNCTION("""COMPUTED_VALUE"""),8)</f>
        <v>8</v>
      </c>
      <c r="B10" s="168" t="str">
        <f ca="1">IFERROR(__xludf.DUMMYFUNCTION("""COMPUTED_VALUE"""),"Education")</f>
        <v>Education</v>
      </c>
      <c r="C10" s="168" t="str">
        <f ca="1">IFERROR(__xludf.DUMMYFUNCTION("""COMPUTED_VALUE"""),"Access and learning environment")</f>
        <v>Access and learning environment</v>
      </c>
      <c r="D10" s="168" t="str">
        <f ca="1">IFERROR(__xludf.DUMMYFUNCTION("""COMPUTED_VALUE"""),"Humanitarian conditions")</f>
        <v>Humanitarian conditions</v>
      </c>
      <c r="E10" s="168" t="str">
        <f ca="1">IFERROR(__xludf.DUMMYFUNCTION("""COMPUTED_VALUE"""),"Coping Mechanisms")</f>
        <v>Coping Mechanisms</v>
      </c>
      <c r="F10" s="168" t="str">
        <f ca="1">IFERROR(__xludf.DUMMYFUNCTION("""COMPUTED_VALUE"""),"% children dropping out of school in the last XX months")</f>
        <v>% children dropping out of school in the last XX months</v>
      </c>
      <c r="G10" s="168"/>
      <c r="H10" s="168"/>
      <c r="I10" s="168"/>
      <c r="J10" s="168"/>
      <c r="K10" s="169">
        <f ca="1">IFERROR(__xludf.DUMMYFUNCTION("""COMPUTED_VALUE"""),1)</f>
        <v>1</v>
      </c>
      <c r="L10" s="168" t="str">
        <f ca="1">IFERROR(__xludf.DUMMYFUNCTION("""COMPUTED_VALUE"""),"HH survey / KI")</f>
        <v>HH survey / KI</v>
      </c>
      <c r="M10" s="168" t="str">
        <f ca="1">IFERROR(__xludf.DUMMYFUNCTION("""COMPUTED_VALUE"""),"MSNA / EMIS or school database / EiE assessment")</f>
        <v>MSNA / EMIS or school database / EiE assessment</v>
      </c>
      <c r="N10" s="170" t="str">
        <f ca="1">IFERROR(__xludf.DUMMYFUNCTION("""COMPUTED_VALUE"""),"HH: No school-aged children in the HH dropped ou
 Area: 0% of school-aged children dropped out")</f>
        <v>HH: No school-aged children in the HH dropped ou
 Area: 0% of school-aged children dropped out</v>
      </c>
      <c r="O10" s="170" t="str">
        <f ca="1">IFERROR(__xludf.DUMMYFUNCTION("""COMPUTED_VALUE"""),"Area: &lt;10% of school-aged children dropped out")</f>
        <v>Area: &lt;10% of school-aged children dropped out</v>
      </c>
      <c r="P10" s="170" t="str">
        <f ca="1">IFERROR(__xludf.DUMMYFUNCTION("""COMPUTED_VALUE"""),"HH: Some school-aged children in the HH attend school
 Area: &lt;20% of school-aged children dropped out")</f>
        <v>HH: Some school-aged children in the HH attend school
 Area: &lt;20% of school-aged children dropped out</v>
      </c>
      <c r="Q10" s="170" t="str">
        <f ca="1">IFERROR(__xludf.DUMMYFUNCTION("""COMPUTED_VALUE"""),"Area: &lt;30% of school-aged children dropped out")</f>
        <v>Area: &lt;30% of school-aged children dropped out</v>
      </c>
      <c r="R10" s="170" t="str">
        <f ca="1">IFERROR(__xludf.DUMMYFUNCTION("""COMPUTED_VALUE"""),"HH: All school-aged children in the HH dropped out
 Area: &gt;=30% of school-aged children dropped out")</f>
        <v>HH: All school-aged children in the HH dropped out
 Area: &gt;=30% of school-aged children dropped out</v>
      </c>
      <c r="S10" s="168" t="str">
        <f ca="1">IFERROR(__xludf.DUMMYFUNCTION("""COMPUTED_VALUE"""),"Country-level thresholds should be amended based on the pre-crisis drop-out rate")</f>
        <v>Country-level thresholds should be amended based on the pre-crisis drop-out rate</v>
      </c>
    </row>
    <row r="11" spans="1:19" ht="105" hidden="1" customHeight="1">
      <c r="A11" s="159">
        <f ca="1">IFERROR(__xludf.DUMMYFUNCTION("""COMPUTED_VALUE"""),9)</f>
        <v>9</v>
      </c>
      <c r="B11" s="168" t="str">
        <f ca="1">IFERROR(__xludf.DUMMYFUNCTION("""COMPUTED_VALUE"""),"Education")</f>
        <v>Education</v>
      </c>
      <c r="C11" s="168" t="str">
        <f ca="1">IFERROR(__xludf.DUMMYFUNCTION("""COMPUTED_VALUE"""),"Access and learning environment")</f>
        <v>Access and learning environment</v>
      </c>
      <c r="D11" s="168" t="str">
        <f ca="1">IFERROR(__xludf.DUMMYFUNCTION("""COMPUTED_VALUE"""),"Humanitarian conditions")</f>
        <v>Humanitarian conditions</v>
      </c>
      <c r="E11" s="168" t="str">
        <f ca="1">IFERROR(__xludf.DUMMYFUNCTION("""COMPUTED_VALUE"""),"Coping Mechanisms")</f>
        <v>Coping Mechanisms</v>
      </c>
      <c r="F11" s="168" t="str">
        <f ca="1">IFERROR(__xludf.DUMMYFUNCTION("""COMPUTED_VALUE"""),"% households by highest education level (primary, secondary and tertiary)")</f>
        <v>% households by highest education level (primary, secondary and tertiary)</v>
      </c>
      <c r="G11" s="168"/>
      <c r="H11" s="168"/>
      <c r="I11" s="168"/>
      <c r="J11" s="168"/>
      <c r="K11" s="169">
        <f ca="1">IFERROR(__xludf.DUMMYFUNCTION("""COMPUTED_VALUE"""),2)</f>
        <v>2</v>
      </c>
      <c r="L11" s="168" t="str">
        <f ca="1">IFERROR(__xludf.DUMMYFUNCTION("""COMPUTED_VALUE"""),"HH survey")</f>
        <v>HH survey</v>
      </c>
      <c r="M11" s="168" t="str">
        <f ca="1">IFERROR(__xludf.DUMMYFUNCTION("""COMPUTED_VALUE"""),"MSNA")</f>
        <v>MSNA</v>
      </c>
      <c r="N11" s="170" t="str">
        <f ca="1">IFERROR(__xludf.DUMMYFUNCTION("""COMPUTED_VALUE"""),"HH: at least 1 member completed tertiary degree OR vocational qualification")</f>
        <v>HH: at least 1 member completed tertiary degree OR vocational qualification</v>
      </c>
      <c r="O11" s="170" t="str">
        <f ca="1">IFERROR(__xludf.DUMMYFUNCTION("""COMPUTED_VALUE"""),"HH: at least 1 member completed secondary education")</f>
        <v>HH: at least 1 member completed secondary education</v>
      </c>
      <c r="P11" s="170" t="str">
        <f ca="1">IFERROR(__xludf.DUMMYFUNCTION("""COMPUTED_VALUE"""),"HH: at least 1 member completed primary education")</f>
        <v>HH: at least 1 member completed primary education</v>
      </c>
      <c r="Q11" s="170" t="str">
        <f ca="1">IFERROR(__xludf.DUMMYFUNCTION("""COMPUTED_VALUE"""),"HH: at least 1 member started (though did not complete) primary education")</f>
        <v>HH: at least 1 member started (though did not complete) primary education</v>
      </c>
      <c r="R11" s="170" t="str">
        <f ca="1">IFERROR(__xludf.DUMMYFUNCTION("""COMPUTED_VALUE"""),"HH: No member ever attended school")</f>
        <v>HH: No member ever attended school</v>
      </c>
      <c r="S11" s="168"/>
    </row>
    <row r="12" spans="1:19" ht="105" hidden="1" customHeight="1">
      <c r="A12" s="159">
        <f ca="1">IFERROR(__xludf.DUMMYFUNCTION("""COMPUTED_VALUE"""),10)</f>
        <v>10</v>
      </c>
      <c r="B12" s="168" t="str">
        <f ca="1">IFERROR(__xludf.DUMMYFUNCTION("""COMPUTED_VALUE"""),"Education")</f>
        <v>Education</v>
      </c>
      <c r="C12" s="168" t="str">
        <f ca="1">IFERROR(__xludf.DUMMYFUNCTION("""COMPUTED_VALUE"""),"Access and learning environment")</f>
        <v>Access and learning environment</v>
      </c>
      <c r="D12" s="168" t="str">
        <f ca="1">IFERROR(__xludf.DUMMYFUNCTION("""COMPUTED_VALUE"""),"Humanitarian conditions")</f>
        <v>Humanitarian conditions</v>
      </c>
      <c r="E12" s="168" t="str">
        <f ca="1">IFERROR(__xludf.DUMMYFUNCTION("""COMPUTED_VALUE"""),"Living Standards")</f>
        <v>Living Standards</v>
      </c>
      <c r="F12" s="168" t="str">
        <f ca="1">IFERROR(__xludf.DUMMYFUNCTION("""COMPUTED_VALUE"""),"% children not attending school by sex and school-level (as a result of the crisis)")</f>
        <v>% children not attending school by sex and school-level (as a result of the crisis)</v>
      </c>
      <c r="G12" s="168"/>
      <c r="H12" s="168"/>
      <c r="I12" s="168"/>
      <c r="J12" s="168"/>
      <c r="K12" s="169">
        <f ca="1">IFERROR(__xludf.DUMMYFUNCTION("""COMPUTED_VALUE"""),1)</f>
        <v>1</v>
      </c>
      <c r="L12" s="168" t="str">
        <f ca="1">IFERROR(__xludf.DUMMYFUNCTION("""COMPUTED_VALUE"""),"HH survey / KI")</f>
        <v>HH survey / KI</v>
      </c>
      <c r="M12" s="168" t="str">
        <f ca="1">IFERROR(__xludf.DUMMYFUNCTION("""COMPUTED_VALUE"""),"MSNA / EMIS or school database / EiE assessment")</f>
        <v>MSNA / EMIS or school database / EiE assessment</v>
      </c>
      <c r="N12" s="170" t="str">
        <f ca="1">IFERROR(__xludf.DUMMYFUNCTION("""COMPUTED_VALUE"""),"HH: All school-aged children in the HH attend school
 Area: 100% of school-aged children attended school in the current/most recent school year")</f>
        <v>HH: All school-aged children in the HH attend school
 Area: 100% of school-aged children attended school in the current/most recent school year</v>
      </c>
      <c r="O12" s="170" t="str">
        <f ca="1">IFERROR(__xludf.DUMMYFUNCTION("""COMPUTED_VALUE"""),"HH: NA
 Area: &gt;75% of school-aged children attended school in the current/most recent school year")</f>
        <v>HH: NA
 Area: &gt;75% of school-aged children attended school in the current/most recent school year</v>
      </c>
      <c r="P12" s="170" t="str">
        <f ca="1">IFERROR(__xludf.DUMMYFUNCTION("""COMPUTED_VALUE"""),"HH: Some school-aged children in the HH attend school
 Area: &gt;50% of school-aged children attended school in the current/most recent school year")</f>
        <v>HH: Some school-aged children in the HH attend school
 Area: &gt;50% of school-aged children attended school in the current/most recent school year</v>
      </c>
      <c r="Q12" s="170" t="str">
        <f ca="1">IFERROR(__xludf.DUMMYFUNCTION("""COMPUTED_VALUE"""),"HH: NA
Area: &gt;25% of school-aged children attended school in the current/most recent school year")</f>
        <v>HH: NA
Area: &gt;25% of school-aged children attended school in the current/most recent school year</v>
      </c>
      <c r="R12" s="170" t="str">
        <f ca="1">IFERROR(__xludf.DUMMYFUNCTION("""COMPUTED_VALUE"""),"HH: No school-aged children in the HH attend school
 Area: 0-25% of school-aged children attended school in the current/most recent school year")</f>
        <v>HH: No school-aged children in the HH attend school
 Area: 0-25% of school-aged children attended school in the current/most recent school year</v>
      </c>
      <c r="S12" s="168" t="str">
        <f ca="1">IFERROR(__xludf.DUMMYFUNCTION("""COMPUTED_VALUE"""),"Country-level thresholds should be amended based on the pre-crisis enrolment rate")</f>
        <v>Country-level thresholds should be amended based on the pre-crisis enrolment rate</v>
      </c>
    </row>
    <row r="13" spans="1:19" ht="105" hidden="1" customHeight="1">
      <c r="A13" s="159">
        <f ca="1">IFERROR(__xludf.DUMMYFUNCTION("""COMPUTED_VALUE"""),11)</f>
        <v>11</v>
      </c>
      <c r="B13" s="168" t="str">
        <f ca="1">IFERROR(__xludf.DUMMYFUNCTION("""COMPUTED_VALUE"""),"Education")</f>
        <v>Education</v>
      </c>
      <c r="C13" s="168" t="str">
        <f ca="1">IFERROR(__xludf.DUMMYFUNCTION("""COMPUTED_VALUE"""),"Attacks on education")</f>
        <v>Attacks on education</v>
      </c>
      <c r="D13" s="168" t="str">
        <f ca="1">IFERROR(__xludf.DUMMYFUNCTION("""COMPUTED_VALUE"""),"Humanitarian conditions")</f>
        <v>Humanitarian conditions</v>
      </c>
      <c r="E13" s="168" t="str">
        <f ca="1">IFERROR(__xludf.DUMMYFUNCTION("""COMPUTED_VALUE"""),"Physical and Mental Wellbeing")</f>
        <v>Physical and Mental Wellbeing</v>
      </c>
      <c r="F13" s="168" t="str">
        <f ca="1">IFERROR(__xludf.DUMMYFUNCTION("""COMPUTED_VALUE"""),"% of children who have suffered attacks in or on their way to school in the last XX months")</f>
        <v>% of children who have suffered attacks in or on their way to school in the last XX months</v>
      </c>
      <c r="G13" s="168"/>
      <c r="H13" s="168"/>
      <c r="I13" s="168"/>
      <c r="J13" s="168"/>
      <c r="K13" s="169">
        <f ca="1">IFERROR(__xludf.DUMMYFUNCTION("""COMPUTED_VALUE"""),1)</f>
        <v>1</v>
      </c>
      <c r="L13" s="168" t="str">
        <f ca="1">IFERROR(__xludf.DUMMYFUNCTION("""COMPUTED_VALUE"""),"HH survey / KI")</f>
        <v>HH survey / KI</v>
      </c>
      <c r="M13" s="168" t="str">
        <f ca="1">IFERROR(__xludf.DUMMYFUNCTION("""COMPUTED_VALUE"""),"EiE/protection monitoring")</f>
        <v>EiE/protection monitoring</v>
      </c>
      <c r="N13" s="170" t="str">
        <f ca="1">IFERROR(__xludf.DUMMYFUNCTION("""COMPUTED_VALUE"""),"No attacks")</f>
        <v>No attacks</v>
      </c>
      <c r="O13" s="170" t="str">
        <f ca="1">IFERROR(__xludf.DUMMYFUNCTION("""COMPUTED_VALUE"""),"Verbal attacks")</f>
        <v>Verbal attacks</v>
      </c>
      <c r="P13" s="170" t="str">
        <f ca="1">IFERROR(__xludf.DUMMYFUNCTION("""COMPUTED_VALUE"""),"Physical assault without serious injury")</f>
        <v>Physical assault without serious injury</v>
      </c>
      <c r="Q13" s="170" t="str">
        <f ca="1">IFERROR(__xludf.DUMMYFUNCTION("""COMPUTED_VALUE"""),"Physical assault with serious injury")</f>
        <v>Physical assault with serious injury</v>
      </c>
      <c r="R13" s="170" t="str">
        <f ca="1">IFERROR(__xludf.DUMMYFUNCTION("""COMPUTED_VALUE"""),"Physical assault with fatal injury")</f>
        <v>Physical assault with fatal injury</v>
      </c>
      <c r="S13" s="168"/>
    </row>
    <row r="14" spans="1:19" ht="105" hidden="1" customHeight="1">
      <c r="A14" s="159">
        <f ca="1">IFERROR(__xludf.DUMMYFUNCTION("""COMPUTED_VALUE"""),12)</f>
        <v>12</v>
      </c>
      <c r="B14" s="168" t="str">
        <f ca="1">IFERROR(__xludf.DUMMYFUNCTION("""COMPUTED_VALUE"""),"Education")</f>
        <v>Education</v>
      </c>
      <c r="C14" s="168" t="str">
        <f ca="1">IFERROR(__xludf.DUMMYFUNCTION("""COMPUTED_VALUE"""),"Attacks on education")</f>
        <v>Attacks on education</v>
      </c>
      <c r="D14" s="168" t="str">
        <f ca="1">IFERROR(__xludf.DUMMYFUNCTION("""COMPUTED_VALUE"""),"Humanitarian conditions")</f>
        <v>Humanitarian conditions</v>
      </c>
      <c r="E14" s="168" t="str">
        <f ca="1">IFERROR(__xludf.DUMMYFUNCTION("""COMPUTED_VALUE"""),"Physical and Mental Wellbeing")</f>
        <v>Physical and Mental Wellbeing</v>
      </c>
      <c r="F14" s="168" t="str">
        <f ca="1">IFERROR(__xludf.DUMMYFUNCTION("""COMPUTED_VALUE"""),"% of teachers who have suffered attacks in or on their way to school in the last XX months")</f>
        <v>% of teachers who have suffered attacks in or on their way to school in the last XX months</v>
      </c>
      <c r="G14" s="168"/>
      <c r="H14" s="168"/>
      <c r="I14" s="168"/>
      <c r="J14" s="168"/>
      <c r="K14" s="169">
        <f ca="1">IFERROR(__xludf.DUMMYFUNCTION("""COMPUTED_VALUE"""),1)</f>
        <v>1</v>
      </c>
      <c r="L14" s="168" t="str">
        <f ca="1">IFERROR(__xludf.DUMMYFUNCTION("""COMPUTED_VALUE"""),"KI")</f>
        <v>KI</v>
      </c>
      <c r="M14" s="168" t="str">
        <f ca="1">IFERROR(__xludf.DUMMYFUNCTION("""COMPUTED_VALUE"""),"EiE/protection monitoring")</f>
        <v>EiE/protection monitoring</v>
      </c>
      <c r="N14" s="170" t="str">
        <f ca="1">IFERROR(__xludf.DUMMYFUNCTION("""COMPUTED_VALUE"""),"No attacks")</f>
        <v>No attacks</v>
      </c>
      <c r="O14" s="170" t="str">
        <f ca="1">IFERROR(__xludf.DUMMYFUNCTION("""COMPUTED_VALUE"""),"Verbal attacks")</f>
        <v>Verbal attacks</v>
      </c>
      <c r="P14" s="170" t="str">
        <f ca="1">IFERROR(__xludf.DUMMYFUNCTION("""COMPUTED_VALUE"""),"Physical assault without serious injury")</f>
        <v>Physical assault without serious injury</v>
      </c>
      <c r="Q14" s="170" t="str">
        <f ca="1">IFERROR(__xludf.DUMMYFUNCTION("""COMPUTED_VALUE"""),"Physical assault with serious injury")</f>
        <v>Physical assault with serious injury</v>
      </c>
      <c r="R14" s="170" t="str">
        <f ca="1">IFERROR(__xludf.DUMMYFUNCTION("""COMPUTED_VALUE"""),"Physical assault with fatal injury")</f>
        <v>Physical assault with fatal injury</v>
      </c>
      <c r="S14" s="168"/>
    </row>
    <row r="15" spans="1:19" ht="105" hidden="1" customHeight="1">
      <c r="A15" s="159">
        <f ca="1">IFERROR(__xludf.DUMMYFUNCTION("""COMPUTED_VALUE"""),13)</f>
        <v>13</v>
      </c>
      <c r="B15" s="168" t="str">
        <f ca="1">IFERROR(__xludf.DUMMYFUNCTION("""COMPUTED_VALUE"""),"Education")</f>
        <v>Education</v>
      </c>
      <c r="C15" s="168" t="str">
        <f ca="1">IFERROR(__xludf.DUMMYFUNCTION("""COMPUTED_VALUE"""),"Attacks on education")</f>
        <v>Attacks on education</v>
      </c>
      <c r="D15" s="168" t="str">
        <f ca="1">IFERROR(__xludf.DUMMYFUNCTION("""COMPUTED_VALUE"""),"Impact")</f>
        <v>Impact</v>
      </c>
      <c r="E15" s="168" t="str">
        <f ca="1">IFERROR(__xludf.DUMMYFUNCTION("""COMPUTED_VALUE"""),"Impact on Services")</f>
        <v>Impact on Services</v>
      </c>
      <c r="F15" s="168" t="str">
        <f ca="1">IFERROR(__xludf.DUMMYFUNCTION("""COMPUTED_VALUE"""),"Number of attacks on education personnel in the lat XX months")</f>
        <v>Number of attacks on education personnel in the lat XX months</v>
      </c>
      <c r="G15" s="168"/>
      <c r="H15" s="168"/>
      <c r="I15" s="168"/>
      <c r="J15" s="168"/>
      <c r="K15" s="169">
        <f ca="1">IFERROR(__xludf.DUMMYFUNCTION("""COMPUTED_VALUE"""),0)</f>
        <v>0</v>
      </c>
      <c r="L15" s="168" t="str">
        <f ca="1">IFERROR(__xludf.DUMMYFUNCTION("""COMPUTED_VALUE"""),"KI")</f>
        <v>KI</v>
      </c>
      <c r="M15" s="168"/>
      <c r="N15" s="170"/>
      <c r="O15" s="170"/>
      <c r="P15" s="170"/>
      <c r="Q15" s="170"/>
      <c r="R15" s="170"/>
      <c r="S15" s="168" t="str">
        <f ca="1">IFERROR(__xludf.DUMMYFUNCTION("""COMPUTED_VALUE"""),"Thresholds to be developed by the Education Cluster in country.")</f>
        <v>Thresholds to be developed by the Education Cluster in country.</v>
      </c>
    </row>
    <row r="16" spans="1:19" ht="105" hidden="1" customHeight="1">
      <c r="A16" s="159">
        <f ca="1">IFERROR(__xludf.DUMMYFUNCTION("""COMPUTED_VALUE"""),14)</f>
        <v>14</v>
      </c>
      <c r="B16" s="168" t="str">
        <f ca="1">IFERROR(__xludf.DUMMYFUNCTION("""COMPUTED_VALUE"""),"Education")</f>
        <v>Education</v>
      </c>
      <c r="C16" s="168" t="str">
        <f ca="1">IFERROR(__xludf.DUMMYFUNCTION("""COMPUTED_VALUE"""),"Attacks on education")</f>
        <v>Attacks on education</v>
      </c>
      <c r="D16" s="168" t="str">
        <f ca="1">IFERROR(__xludf.DUMMYFUNCTION("""COMPUTED_VALUE"""),"Impact")</f>
        <v>Impact</v>
      </c>
      <c r="E16" s="168" t="str">
        <f ca="1">IFERROR(__xludf.DUMMYFUNCTION("""COMPUTED_VALUE"""),"Impact on Services")</f>
        <v>Impact on Services</v>
      </c>
      <c r="F16" s="168" t="str">
        <f ca="1">IFERROR(__xludf.DUMMYFUNCTION("""COMPUTED_VALUE"""),"Number of attacks on school in the last XX months")</f>
        <v>Number of attacks on school in the last XX months</v>
      </c>
      <c r="G16" s="168"/>
      <c r="H16" s="168"/>
      <c r="I16" s="168"/>
      <c r="J16" s="168"/>
      <c r="K16" s="169">
        <f ca="1">IFERROR(__xludf.DUMMYFUNCTION("""COMPUTED_VALUE"""),0)</f>
        <v>0</v>
      </c>
      <c r="L16" s="168" t="str">
        <f ca="1">IFERROR(__xludf.DUMMYFUNCTION("""COMPUTED_VALUE"""),"KI")</f>
        <v>KI</v>
      </c>
      <c r="M16" s="168"/>
      <c r="N16" s="170"/>
      <c r="O16" s="170"/>
      <c r="P16" s="170"/>
      <c r="Q16" s="170"/>
      <c r="R16" s="170"/>
      <c r="S16" s="168" t="str">
        <f ca="1">IFERROR(__xludf.DUMMYFUNCTION("""COMPUTED_VALUE"""),"Thresholds to be developed by the Education Cluster in country.")</f>
        <v>Thresholds to be developed by the Education Cluster in country.</v>
      </c>
    </row>
    <row r="17" spans="1:19" ht="105" hidden="1" customHeight="1">
      <c r="A17" s="159">
        <f ca="1">IFERROR(__xludf.DUMMYFUNCTION("""COMPUTED_VALUE"""),15)</f>
        <v>15</v>
      </c>
      <c r="B17" s="168" t="str">
        <f ca="1">IFERROR(__xludf.DUMMYFUNCTION("""COMPUTED_VALUE"""),"Education")</f>
        <v>Education</v>
      </c>
      <c r="C17" s="168" t="str">
        <f ca="1">IFERROR(__xludf.DUMMYFUNCTION("""COMPUTED_VALUE"""),"Attacks on education")</f>
        <v>Attacks on education</v>
      </c>
      <c r="D17" s="168" t="str">
        <f ca="1">IFERROR(__xludf.DUMMYFUNCTION("""COMPUTED_VALUE"""),"Impact")</f>
        <v>Impact</v>
      </c>
      <c r="E17" s="168" t="str">
        <f ca="1">IFERROR(__xludf.DUMMYFUNCTION("""COMPUTED_VALUE"""),"Impact on Services")</f>
        <v>Impact on Services</v>
      </c>
      <c r="F17" s="168" t="str">
        <f ca="1">IFERROR(__xludf.DUMMYFUNCTION("""COMPUTED_VALUE"""),"Number of schools occupied by armed groups in the last XX months")</f>
        <v>Number of schools occupied by armed groups in the last XX months</v>
      </c>
      <c r="G17" s="168"/>
      <c r="H17" s="168"/>
      <c r="I17" s="168"/>
      <c r="J17" s="168"/>
      <c r="K17" s="169">
        <f ca="1">IFERROR(__xludf.DUMMYFUNCTION("""COMPUTED_VALUE"""),0)</f>
        <v>0</v>
      </c>
      <c r="L17" s="168" t="str">
        <f ca="1">IFERROR(__xludf.DUMMYFUNCTION("""COMPUTED_VALUE"""),"KI")</f>
        <v>KI</v>
      </c>
      <c r="M17" s="168"/>
      <c r="N17" s="170"/>
      <c r="O17" s="170"/>
      <c r="P17" s="170"/>
      <c r="Q17" s="170"/>
      <c r="R17" s="170"/>
      <c r="S17" s="168"/>
    </row>
    <row r="18" spans="1:19" ht="105" hidden="1" customHeight="1">
      <c r="A18" s="159">
        <f ca="1">IFERROR(__xludf.DUMMYFUNCTION("""COMPUTED_VALUE"""),16)</f>
        <v>16</v>
      </c>
      <c r="B18" s="168" t="str">
        <f ca="1">IFERROR(__xludf.DUMMYFUNCTION("""COMPUTED_VALUE"""),"Education")</f>
        <v>Education</v>
      </c>
      <c r="C18" s="168" t="str">
        <f ca="1">IFERROR(__xludf.DUMMYFUNCTION("""COMPUTED_VALUE"""),"WASH in schools")</f>
        <v>WASH in schools</v>
      </c>
      <c r="D18" s="168" t="str">
        <f ca="1">IFERROR(__xludf.DUMMYFUNCTION("""COMPUTED_VALUE"""),"Humanitarian conditions")</f>
        <v>Humanitarian conditions</v>
      </c>
      <c r="E18" s="168" t="str">
        <f ca="1">IFERROR(__xludf.DUMMYFUNCTION("""COMPUTED_VALUE"""),"Living Standards")</f>
        <v>Living Standards</v>
      </c>
      <c r="F18" s="168" t="str">
        <f ca="1">IFERROR(__xludf.DUMMYFUNCTION("""COMPUTED_VALUE"""),"% children in schools without access to an improved drinking water source")</f>
        <v>% children in schools without access to an improved drinking water source</v>
      </c>
      <c r="G18" s="168"/>
      <c r="H18" s="168"/>
      <c r="I18" s="168"/>
      <c r="J18" s="168"/>
      <c r="K18" s="168" t="str">
        <f ca="1">IFERROR(__xludf.DUMMYFUNCTION("""COMPUTED_VALUE"""),"2; In epidemic situation, level 1")</f>
        <v>2; In epidemic situation, level 1</v>
      </c>
      <c r="L18" s="168" t="str">
        <f ca="1">IFERROR(__xludf.DUMMYFUNCTION("""COMPUTED_VALUE"""),"KI")</f>
        <v>KI</v>
      </c>
      <c r="M18" s="168" t="str">
        <f ca="1">IFERROR(__xludf.DUMMYFUNCTION("""COMPUTED_VALUE"""),"EiE assessment")</f>
        <v>EiE assessment</v>
      </c>
      <c r="N18" s="170" t="str">
        <f ca="1">IFERROR(__xludf.DUMMYFUNCTION("""COMPUTED_VALUE"""),"Area: 0-20%
Water available from an improved sources located on the premises
")</f>
        <v xml:space="preserve">Area: 0-20%
Water available from an improved sources located on the premises
</v>
      </c>
      <c r="O18" s="170" t="str">
        <f ca="1">IFERROR(__xludf.DUMMYFUNCTION("""COMPUTED_VALUE"""),"21-40%
Water available from an improved source not on premises")</f>
        <v>21-40%
Water available from an improved source not on premises</v>
      </c>
      <c r="P18" s="170" t="str">
        <f ca="1">IFERROR(__xludf.DUMMYFUNCTION("""COMPUTED_VALUE"""),"41-60%
Water available from an unimproved source on premises")</f>
        <v>41-60%
Water available from an unimproved source on premises</v>
      </c>
      <c r="Q18" s="170" t="str">
        <f ca="1">IFERROR(__xludf.DUMMYFUNCTION("""COMPUTED_VALUE"""),"61-80%
Water from unimproved source not on premises")</f>
        <v>61-80%
Water from unimproved source not on premises</v>
      </c>
      <c r="R18" s="170" t="str">
        <f ca="1">IFERROR(__xludf.DUMMYFUNCTION("""COMPUTED_VALUE"""),"81-100%
No water source")</f>
        <v>81-100%
No water source</v>
      </c>
      <c r="S18" s="168"/>
    </row>
    <row r="19" spans="1:19" ht="105" hidden="1" customHeight="1">
      <c r="A19" s="159">
        <f ca="1">IFERROR(__xludf.DUMMYFUNCTION("""COMPUTED_VALUE"""),17)</f>
        <v>17</v>
      </c>
      <c r="B19" s="168" t="str">
        <f ca="1">IFERROR(__xludf.DUMMYFUNCTION("""COMPUTED_VALUE"""),"Education")</f>
        <v>Education</v>
      </c>
      <c r="C19" s="168" t="str">
        <f ca="1">IFERROR(__xludf.DUMMYFUNCTION("""COMPUTED_VALUE"""),"WASH in schools")</f>
        <v>WASH in schools</v>
      </c>
      <c r="D19" s="168" t="str">
        <f ca="1">IFERROR(__xludf.DUMMYFUNCTION("""COMPUTED_VALUE"""),"Humanitarian conditions")</f>
        <v>Humanitarian conditions</v>
      </c>
      <c r="E19" s="168" t="str">
        <f ca="1">IFERROR(__xludf.DUMMYFUNCTION("""COMPUTED_VALUE"""),"Living Standards")</f>
        <v>Living Standards</v>
      </c>
      <c r="F19" s="168" t="str">
        <f ca="1">IFERROR(__xludf.DUMMYFUNCTION("""COMPUTED_VALUE"""),"% children in schools without access to hygienic latrines")</f>
        <v>% children in schools without access to hygienic latrines</v>
      </c>
      <c r="G19" s="168"/>
      <c r="H19" s="168"/>
      <c r="I19" s="168"/>
      <c r="J19" s="168"/>
      <c r="K19" s="168" t="str">
        <f ca="1">IFERROR(__xludf.DUMMYFUNCTION("""COMPUTED_VALUE"""),"2; In epidemic situation, level 2")</f>
        <v>2; In epidemic situation, level 2</v>
      </c>
      <c r="L19" s="168" t="str">
        <f ca="1">IFERROR(__xludf.DUMMYFUNCTION("""COMPUTED_VALUE"""),"KI")</f>
        <v>KI</v>
      </c>
      <c r="M19" s="168" t="str">
        <f ca="1">IFERROR(__xludf.DUMMYFUNCTION("""COMPUTED_VALUE"""),"EiE assessment")</f>
        <v>EiE assessment</v>
      </c>
      <c r="N19" s="170" t="str">
        <f ca="1">IFERROR(__xludf.DUMMYFUNCTION("""COMPUTED_VALUE"""),"Area: 0-20%
Access to gender-segregated improved sanitation facilities, shared with fewer than 50 students")</f>
        <v>Area: 0-20%
Access to gender-segregated improved sanitation facilities, shared with fewer than 50 students</v>
      </c>
      <c r="O19" s="170" t="str">
        <f ca="1">IFERROR(__xludf.DUMMYFUNCTION("""COMPUTED_VALUE"""),"Area: 21-40%
Access to improved sanitation facilities, not gender-segregated, shared with fewer than 50 students")</f>
        <v>Area: 21-40%
Access to improved sanitation facilities, not gender-segregated, shared with fewer than 50 students</v>
      </c>
      <c r="P19" s="170" t="str">
        <f ca="1">IFERROR(__xludf.DUMMYFUNCTION("""COMPUTED_VALUE"""),"Area: 41-60%
Access to improved sanitation facilities, shared with more than 50 students")</f>
        <v>Area: 41-60%
Access to improved sanitation facilities, shared with more than 50 students</v>
      </c>
      <c r="Q19" s="170" t="str">
        <f ca="1">IFERROR(__xludf.DUMMYFUNCTION("""COMPUTED_VALUE"""),"Area: 61-80%
Access to unimproved facilities OR access to improved facilities shared with more than 100 students")</f>
        <v>Area: 61-80%
Access to unimproved facilities OR access to improved facilities shared with more than 100 students</v>
      </c>
      <c r="R19" s="170" t="str">
        <f ca="1">IFERROR(__xludf.DUMMYFUNCTION("""COMPUTED_VALUE"""),"Area: 81-100%
Disposal of human faeces in open spaces or with solid waste")</f>
        <v>Area: 81-100%
Disposal of human faeces in open spaces or with solid waste</v>
      </c>
      <c r="S19" s="168"/>
    </row>
    <row r="20" spans="1:19" ht="105" hidden="1" customHeight="1">
      <c r="A20" s="159">
        <f ca="1">IFERROR(__xludf.DUMMYFUNCTION("""COMPUTED_VALUE"""),18)</f>
        <v>18</v>
      </c>
      <c r="B20" s="168" t="str">
        <f ca="1">IFERROR(__xludf.DUMMYFUNCTION("""COMPUTED_VALUE"""),"Education")</f>
        <v>Education</v>
      </c>
      <c r="C20" s="168"/>
      <c r="D20" s="168" t="str">
        <f ca="1">IFERROR(__xludf.DUMMYFUNCTION("""COMPUTED_VALUE"""),"Impact")</f>
        <v>Impact</v>
      </c>
      <c r="E20" s="168" t="str">
        <f ca="1">IFERROR(__xludf.DUMMYFUNCTION("""COMPUTED_VALUE"""),"Impact on Services")</f>
        <v>Impact on Services</v>
      </c>
      <c r="F20" s="168" t="str">
        <f ca="1">IFERROR(__xludf.DUMMYFUNCTION("""COMPUTED_VALUE"""),"% of closed/non-functional schools")</f>
        <v>% of closed/non-functional schools</v>
      </c>
      <c r="G20" s="168"/>
      <c r="H20" s="168"/>
      <c r="I20" s="168"/>
      <c r="J20" s="168"/>
      <c r="K20" s="169">
        <f ca="1">IFERROR(__xludf.DUMMYFUNCTION("""COMPUTED_VALUE"""),0)</f>
        <v>0</v>
      </c>
      <c r="L20" s="168" t="str">
        <f ca="1">IFERROR(__xludf.DUMMYFUNCTION("""COMPUTED_VALUE"""),"KI")</f>
        <v>KI</v>
      </c>
      <c r="M20" s="168"/>
      <c r="N20" s="170" t="str">
        <f ca="1">IFERROR(__xludf.DUMMYFUNCTION("""COMPUTED_VALUE"""),"All schools are open/functional")</f>
        <v>All schools are open/functional</v>
      </c>
      <c r="O20" s="170" t="str">
        <f ca="1">IFERROR(__xludf.DUMMYFUNCTION("""COMPUTED_VALUE"""),"Nr. of closed/non-functional schools &lt; 10%")</f>
        <v>Nr. of closed/non-functional schools &lt; 10%</v>
      </c>
      <c r="P20" s="170" t="str">
        <f ca="1">IFERROR(__xludf.DUMMYFUNCTION("""COMPUTED_VALUE"""),"Nr. of closed/non-functional schools = 11-20%")</f>
        <v>Nr. of closed/non-functional schools = 11-20%</v>
      </c>
      <c r="Q20" s="170" t="str">
        <f ca="1">IFERROR(__xludf.DUMMYFUNCTION("""COMPUTED_VALUE"""),"Nr. of closed/non-functional schools = 21-40%")</f>
        <v>Nr. of closed/non-functional schools = 21-40%</v>
      </c>
      <c r="R20" s="170" t="str">
        <f ca="1">IFERROR(__xludf.DUMMYFUNCTION("""COMPUTED_VALUE"""),"Nr. of closed/non-functional schools = 41% or higher")</f>
        <v>Nr. of closed/non-functional schools = 41% or higher</v>
      </c>
      <c r="S20" s="168"/>
    </row>
    <row r="21" spans="1:19" ht="105" hidden="1" customHeight="1">
      <c r="A21" s="159">
        <f ca="1">IFERROR(__xludf.DUMMYFUNCTION("""COMPUTED_VALUE"""),19)</f>
        <v>19</v>
      </c>
      <c r="B21" s="168" t="str">
        <f ca="1">IFERROR(__xludf.DUMMYFUNCTION("""COMPUTED_VALUE"""),"Education")</f>
        <v>Education</v>
      </c>
      <c r="C21" s="168"/>
      <c r="D21" s="168" t="str">
        <f ca="1">IFERROR(__xludf.DUMMYFUNCTION("""COMPUTED_VALUE"""),"Impact")</f>
        <v>Impact</v>
      </c>
      <c r="E21" s="168" t="str">
        <f ca="1">IFERROR(__xludf.DUMMYFUNCTION("""COMPUTED_VALUE"""),"Impact on Services")</f>
        <v>Impact on Services</v>
      </c>
      <c r="F21" s="168" t="str">
        <f ca="1">IFERROR(__xludf.DUMMYFUNCTION("""COMPUTED_VALUE"""),"% of classrooms destroyed or damaged")</f>
        <v>% of classrooms destroyed or damaged</v>
      </c>
      <c r="G21" s="168"/>
      <c r="H21" s="168"/>
      <c r="I21" s="168"/>
      <c r="J21" s="168"/>
      <c r="K21" s="169">
        <f ca="1">IFERROR(__xludf.DUMMYFUNCTION("""COMPUTED_VALUE"""),0)</f>
        <v>0</v>
      </c>
      <c r="L21" s="168" t="str">
        <f ca="1">IFERROR(__xludf.DUMMYFUNCTION("""COMPUTED_VALUE"""),"KI")</f>
        <v>KI</v>
      </c>
      <c r="M21" s="168"/>
      <c r="N21" s="170" t="str">
        <f ca="1">IFERROR(__xludf.DUMMYFUNCTION("""COMPUTED_VALUE"""),"No classrooms destroyed/damaged")</f>
        <v>No classrooms destroyed/damaged</v>
      </c>
      <c r="O21" s="170" t="str">
        <f ca="1">IFERROR(__xludf.DUMMYFUNCTION("""COMPUTED_VALUE"""),"Nr. of classrooms destroyed/damaged &lt; 5%")</f>
        <v>Nr. of classrooms destroyed/damaged &lt; 5%</v>
      </c>
      <c r="P21" s="170" t="str">
        <f ca="1">IFERROR(__xludf.DUMMYFUNCTION("""COMPUTED_VALUE"""),"Nr. of classrooms destroyed/damaged = 6-10%")</f>
        <v>Nr. of classrooms destroyed/damaged = 6-10%</v>
      </c>
      <c r="Q21" s="170" t="str">
        <f ca="1">IFERROR(__xludf.DUMMYFUNCTION("""COMPUTED_VALUE"""),"Nr. of classrooms destroyed/damaged = 11-25%")</f>
        <v>Nr. of classrooms destroyed/damaged = 11-25%</v>
      </c>
      <c r="R21" s="170" t="str">
        <f ca="1">IFERROR(__xludf.DUMMYFUNCTION("""COMPUTED_VALUE"""),"Nr. of classrooms destroyed/damaged = 26% or higher")</f>
        <v>Nr. of classrooms destroyed/damaged = 26% or higher</v>
      </c>
      <c r="S21" s="168"/>
    </row>
    <row r="22" spans="1:19" ht="105" hidden="1" customHeight="1">
      <c r="A22" s="159">
        <f ca="1">IFERROR(__xludf.DUMMYFUNCTION("""COMPUTED_VALUE"""),20)</f>
        <v>20</v>
      </c>
      <c r="B22" s="168" t="str">
        <f ca="1">IFERROR(__xludf.DUMMYFUNCTION("""COMPUTED_VALUE"""),"Education")</f>
        <v>Education</v>
      </c>
      <c r="C22" s="168"/>
      <c r="D22" s="168" t="str">
        <f ca="1">IFERROR(__xludf.DUMMYFUNCTION("""COMPUTED_VALUE"""),"Impact")</f>
        <v>Impact</v>
      </c>
      <c r="E22" s="168" t="str">
        <f ca="1">IFERROR(__xludf.DUMMYFUNCTION("""COMPUTED_VALUE"""),"Impact on Services")</f>
        <v>Impact on Services</v>
      </c>
      <c r="F22" s="168" t="str">
        <f ca="1">IFERROR(__xludf.DUMMYFUNCTION("""COMPUTED_VALUE"""),"% of schools used as shelter by IDPs")</f>
        <v>% of schools used as shelter by IDPs</v>
      </c>
      <c r="G22" s="168"/>
      <c r="H22" s="168"/>
      <c r="I22" s="168"/>
      <c r="J22" s="168"/>
      <c r="K22" s="169">
        <f ca="1">IFERROR(__xludf.DUMMYFUNCTION("""COMPUTED_VALUE"""),0)</f>
        <v>0</v>
      </c>
      <c r="L22" s="168" t="str">
        <f ca="1">IFERROR(__xludf.DUMMYFUNCTION("""COMPUTED_VALUE"""),"KI")</f>
        <v>KI</v>
      </c>
      <c r="M22" s="168"/>
      <c r="N22" s="170" t="str">
        <f ca="1">IFERROR(__xludf.DUMMYFUNCTION("""COMPUTED_VALUE"""),"No schools used as shelter by IDPs")</f>
        <v>No schools used as shelter by IDPs</v>
      </c>
      <c r="O22" s="170"/>
      <c r="P22" s="170"/>
      <c r="Q22" s="170"/>
      <c r="R22" s="170"/>
      <c r="S22" s="168" t="str">
        <f ca="1">IFERROR(__xludf.DUMMYFUNCTION("""COMPUTED_VALUE"""),"Thresholds to be developed by the Education Cluster in country.")</f>
        <v>Thresholds to be developed by the Education Cluster in country.</v>
      </c>
    </row>
    <row r="23" spans="1:19" ht="105" hidden="1" customHeight="1">
      <c r="A23" s="159">
        <f ca="1">IFERROR(__xludf.DUMMYFUNCTION("""COMPUTED_VALUE"""),21)</f>
        <v>21</v>
      </c>
      <c r="B23" s="168" t="str">
        <f ca="1">IFERROR(__xludf.DUMMYFUNCTION("""COMPUTED_VALUE"""),"Education")</f>
        <v>Education</v>
      </c>
      <c r="C23" s="168"/>
      <c r="D23" s="168" t="str">
        <f ca="1">IFERROR(__xludf.DUMMYFUNCTION("""COMPUTED_VALUE"""),"Impact")</f>
        <v>Impact</v>
      </c>
      <c r="E23" s="168" t="str">
        <f ca="1">IFERROR(__xludf.DUMMYFUNCTION("""COMPUTED_VALUE"""),"Impact on Services")</f>
        <v>Impact on Services</v>
      </c>
      <c r="F23" s="168" t="str">
        <f ca="1">IFERROR(__xludf.DUMMYFUNCTION("""COMPUTED_VALUE"""),"Pupil-Teacher Ratio")</f>
        <v>Pupil-Teacher Ratio</v>
      </c>
      <c r="G23" s="168"/>
      <c r="H23" s="168"/>
      <c r="I23" s="168"/>
      <c r="J23" s="168"/>
      <c r="K23" s="169">
        <f ca="1">IFERROR(__xludf.DUMMYFUNCTION("""COMPUTED_VALUE"""),0)</f>
        <v>0</v>
      </c>
      <c r="L23" s="168" t="str">
        <f ca="1">IFERROR(__xludf.DUMMYFUNCTION("""COMPUTED_VALUE"""),"KI")</f>
        <v>KI</v>
      </c>
      <c r="M23" s="168"/>
      <c r="N23" s="170" t="str">
        <f ca="1">IFERROR(__xludf.DUMMYFUNCTION("""COMPUTED_VALUE"""),"PTR &lt; 40")</f>
        <v>PTR &lt; 40</v>
      </c>
      <c r="O23" s="170" t="str">
        <f ca="1">IFERROR(__xludf.DUMMYFUNCTION("""COMPUTED_VALUE"""),"PTR = 41-50")</f>
        <v>PTR = 41-50</v>
      </c>
      <c r="P23" s="170" t="str">
        <f ca="1">IFERROR(__xludf.DUMMYFUNCTION("""COMPUTED_VALUE"""),"PTR = 51-60")</f>
        <v>PTR = 51-60</v>
      </c>
      <c r="Q23" s="170" t="str">
        <f ca="1">IFERROR(__xludf.DUMMYFUNCTION("""COMPUTED_VALUE"""),"PTR = 61-75")</f>
        <v>PTR = 61-75</v>
      </c>
      <c r="R23" s="170" t="str">
        <f ca="1">IFERROR(__xludf.DUMMYFUNCTION("""COMPUTED_VALUE"""),"PTR = 76 or higher")</f>
        <v>PTR = 76 or higher</v>
      </c>
      <c r="S23" s="168"/>
    </row>
    <row r="24" spans="1:19" ht="105" hidden="1" customHeight="1">
      <c r="A24" s="171"/>
      <c r="B24" s="168" t="str">
        <f ca="1">IFERROR(__xludf.DUMMYFUNCTION("""COMPUTED_VALUE"""),"Education")</f>
        <v>Education</v>
      </c>
      <c r="C24" s="168" t="str">
        <f ca="1">IFERROR(__xludf.DUMMYFUNCTION("""COMPUTED_VALUE"""),"Access and learning environment")</f>
        <v>Access and learning environment</v>
      </c>
      <c r="D24" s="168" t="str">
        <f ca="1">IFERROR(__xludf.DUMMYFUNCTION("""COMPUTED_VALUE"""),"Humanitarian conditions")</f>
        <v>Humanitarian conditions</v>
      </c>
      <c r="E24" s="168" t="str">
        <f ca="1">IFERROR(__xludf.DUMMYFUNCTION("""COMPUTED_VALUE"""),"Living Standards")</f>
        <v>Living Standards</v>
      </c>
      <c r="F24" s="168" t="str">
        <f ca="1">IFERROR(__xludf.DUMMYFUNCTION("""COMPUTED_VALUE"""),"Average time needed by school-enrolled children to access the nearest education facility (pre-primary)")</f>
        <v>Average time needed by school-enrolled children to access the nearest education facility (pre-primary)</v>
      </c>
      <c r="G24" s="168"/>
      <c r="H24" s="168"/>
      <c r="I24" s="168"/>
      <c r="J24" s="168"/>
      <c r="K24" s="168"/>
      <c r="L24" s="168" t="str">
        <f ca="1">IFERROR(__xludf.DUMMYFUNCTION("""COMPUTED_VALUE"""),"HH survey / KI")</f>
        <v>HH survey / KI</v>
      </c>
      <c r="M24" s="168"/>
      <c r="N24" s="168" t="str">
        <f ca="1">IFERROR(__xludf.DUMMYFUNCTION("""COMPUTED_VALUE"""),"Less than 20 minutes")</f>
        <v>Less than 20 minutes</v>
      </c>
      <c r="O24" s="168"/>
      <c r="P24" s="168"/>
      <c r="Q24" s="168" t="str">
        <f ca="1">IFERROR(__xludf.DUMMYFUNCTION("""COMPUTED_VALUE"""),"Over 20 minutes")</f>
        <v>Over 20 minutes</v>
      </c>
      <c r="R24" s="168"/>
      <c r="S24" s="168"/>
    </row>
    <row r="25" spans="1:19" ht="105" hidden="1" customHeight="1">
      <c r="A25" s="171"/>
      <c r="B25" s="168" t="str">
        <f ca="1">IFERROR(__xludf.DUMMYFUNCTION("""COMPUTED_VALUE"""),"Education")</f>
        <v>Education</v>
      </c>
      <c r="C25" s="168" t="str">
        <f ca="1">IFERROR(__xludf.DUMMYFUNCTION("""COMPUTED_VALUE"""),"Access and learning environment")</f>
        <v>Access and learning environment</v>
      </c>
      <c r="D25" s="168" t="str">
        <f ca="1">IFERROR(__xludf.DUMMYFUNCTION("""COMPUTED_VALUE"""),"Humanitarian conditions")</f>
        <v>Humanitarian conditions</v>
      </c>
      <c r="E25" s="168" t="str">
        <f ca="1">IFERROR(__xludf.DUMMYFUNCTION("""COMPUTED_VALUE"""),"Living Standards")</f>
        <v>Living Standards</v>
      </c>
      <c r="F25" s="168" t="str">
        <f ca="1">IFERROR(__xludf.DUMMYFUNCTION("""COMPUTED_VALUE"""),"Average time needed by school-enrolled children to access the nearest education facility (primary)")</f>
        <v>Average time needed by school-enrolled children to access the nearest education facility (primary)</v>
      </c>
      <c r="G25" s="168"/>
      <c r="H25" s="168"/>
      <c r="I25" s="168"/>
      <c r="J25" s="168"/>
      <c r="K25" s="168"/>
      <c r="L25" s="168" t="str">
        <f ca="1">IFERROR(__xludf.DUMMYFUNCTION("""COMPUTED_VALUE"""),"HH survey / KI")</f>
        <v>HH survey / KI</v>
      </c>
      <c r="M25" s="168"/>
      <c r="N25" s="168" t="str">
        <f ca="1">IFERROR(__xludf.DUMMYFUNCTION("""COMPUTED_VALUE"""),"Less than 20 minutes")</f>
        <v>Less than 20 minutes</v>
      </c>
      <c r="O25" s="168"/>
      <c r="P25" s="168" t="str">
        <f ca="1">IFERROR(__xludf.DUMMYFUNCTION("""COMPUTED_VALUE"""),"20-40 minutes")</f>
        <v>20-40 minutes</v>
      </c>
      <c r="Q25" s="168" t="str">
        <f ca="1">IFERROR(__xludf.DUMMYFUNCTION("""COMPUTED_VALUE"""),"Over 40 minutes")</f>
        <v>Over 40 minutes</v>
      </c>
      <c r="R25" s="168"/>
      <c r="S25" s="168"/>
    </row>
    <row r="26" spans="1:19" ht="105" hidden="1" customHeight="1">
      <c r="A26" s="171"/>
      <c r="B26" s="168" t="str">
        <f ca="1">IFERROR(__xludf.DUMMYFUNCTION("""COMPUTED_VALUE"""),"Education")</f>
        <v>Education</v>
      </c>
      <c r="C26" s="168" t="str">
        <f ca="1">IFERROR(__xludf.DUMMYFUNCTION("""COMPUTED_VALUE"""),"Access and learning environment")</f>
        <v>Access and learning environment</v>
      </c>
      <c r="D26" s="168" t="str">
        <f ca="1">IFERROR(__xludf.DUMMYFUNCTION("""COMPUTED_VALUE"""),"Humanitarian conditions")</f>
        <v>Humanitarian conditions</v>
      </c>
      <c r="E26" s="168" t="str">
        <f ca="1">IFERROR(__xludf.DUMMYFUNCTION("""COMPUTED_VALUE"""),"Living Standards")</f>
        <v>Living Standards</v>
      </c>
      <c r="F26" s="168" t="str">
        <f ca="1">IFERROR(__xludf.DUMMYFUNCTION("""COMPUTED_VALUE"""),"Average time needed by school-enrolled children to access the nearest education facility (secondary)")</f>
        <v>Average time needed by school-enrolled children to access the nearest education facility (secondary)</v>
      </c>
      <c r="G26" s="168"/>
      <c r="H26" s="168"/>
      <c r="I26" s="168"/>
      <c r="J26" s="168"/>
      <c r="K26" s="168"/>
      <c r="L26" s="168" t="str">
        <f ca="1">IFERROR(__xludf.DUMMYFUNCTION("""COMPUTED_VALUE"""),"HH survey / KI")</f>
        <v>HH survey / KI</v>
      </c>
      <c r="M26" s="168"/>
      <c r="N26" s="168" t="str">
        <f ca="1">IFERROR(__xludf.DUMMYFUNCTION("""COMPUTED_VALUE"""),"Less than 40 minutes")</f>
        <v>Less than 40 minutes</v>
      </c>
      <c r="O26" s="168"/>
      <c r="P26" s="168" t="str">
        <f ca="1">IFERROR(__xludf.DUMMYFUNCTION("""COMPUTED_VALUE"""),"40-60 minutes")</f>
        <v>40-60 minutes</v>
      </c>
      <c r="Q26" s="168" t="str">
        <f ca="1">IFERROR(__xludf.DUMMYFUNCTION("""COMPUTED_VALUE"""),"Over 60 minutes")</f>
        <v>Over 60 minutes</v>
      </c>
      <c r="R26" s="168"/>
      <c r="S26" s="168"/>
    </row>
    <row r="27" spans="1:19" ht="105" hidden="1" customHeight="1">
      <c r="A27" s="159">
        <f ca="1">IFERROR(__xludf.DUMMYFUNCTION("""COMPUTED_VALUE"""),22)</f>
        <v>22</v>
      </c>
      <c r="B27" s="172" t="str">
        <f ca="1">IFERROR(__xludf.DUMMYFUNCTION("""COMPUTED_VALUE"""),"Food Security")</f>
        <v>Food Security</v>
      </c>
      <c r="C27" s="172" t="str">
        <f ca="1">IFERROR(__xludf.DUMMYFUNCTION("""COMPUTED_VALUE"""),"Food Access")</f>
        <v>Food Access</v>
      </c>
      <c r="D27" s="173" t="str">
        <f ca="1">IFERROR(__xludf.DUMMYFUNCTION("""COMPUTED_VALUE"""),"Humanitarian Conditions")</f>
        <v>Humanitarian Conditions</v>
      </c>
      <c r="E27" s="173" t="str">
        <f ca="1">IFERROR(__xludf.DUMMYFUNCTION("""COMPUTED_VALUE"""),"Coping Mechanisms")</f>
        <v>Coping Mechanisms</v>
      </c>
      <c r="F27" s="173" t="str">
        <f ca="1">IFERROR(__xludf.DUMMYFUNCTION("""COMPUTED_VALUE"""),"Livelihood coping strategy (basic needs)")</f>
        <v>Livelihood coping strategy (basic needs)</v>
      </c>
      <c r="G27" s="174"/>
      <c r="H27" s="174"/>
      <c r="I27" s="174"/>
      <c r="J27" s="174"/>
      <c r="K27" s="175">
        <f ca="1">IFERROR(__xludf.DUMMYFUNCTION("""COMPUTED_VALUE"""),2)</f>
        <v>2</v>
      </c>
      <c r="L27" s="172" t="str">
        <f ca="1">IFERROR(__xludf.DUMMYFUNCTION("""COMPUTED_VALUE"""),"HH survey")</f>
        <v>HH survey</v>
      </c>
      <c r="M27" s="172" t="str">
        <f ca="1">IFERROR(__xludf.DUMMYFUNCTION("""COMPUTED_VALUE"""),"Essential Needs Assessment")</f>
        <v>Essential Needs Assessment</v>
      </c>
      <c r="N27" s="172" t="str">
        <f ca="1">IFERROR(__xludf.DUMMYFUNCTION("""COMPUTED_VALUE"""),"No stress, crisis or emergency coping observed")</f>
        <v>No stress, crisis or emergency coping observed</v>
      </c>
      <c r="O27" s="172" t="str">
        <f ca="1">IFERROR(__xludf.DUMMYFUNCTION("""COMPUTED_VALUE"""),"Stress strategies are the most severe strategies used by the household in the past 30 days")</f>
        <v>Stress strategies are the most severe strategies used by the household in the past 30 days</v>
      </c>
      <c r="P27" s="172" t="str">
        <f ca="1">IFERROR(__xludf.DUMMYFUNCTION("""COMPUTED_VALUE"""),"Crisis strategies are the most severe strategies used by the household in the past 30 days")</f>
        <v>Crisis strategies are the most severe strategies used by the household in the past 30 days</v>
      </c>
      <c r="Q27" s="172" t="str">
        <f ca="1">IFERROR(__xludf.DUMMYFUNCTION("""COMPUTED_VALUE"""),"Emergency strategies are the most severe strategies used by the household in the past 30 days")</f>
        <v>Emergency strategies are the most severe strategies used by the household in the past 30 days</v>
      </c>
      <c r="R27" s="172" t="str">
        <f ca="1">IFERROR(__xludf.DUMMYFUNCTION("""COMPUTED_VALUE"""),"Near exhaustion of coping capacity")</f>
        <v>Near exhaustion of coping capacity</v>
      </c>
      <c r="S27" s="172"/>
    </row>
    <row r="28" spans="1:19" ht="105" hidden="1" customHeight="1">
      <c r="A28" s="159">
        <f ca="1">IFERROR(__xludf.DUMMYFUNCTION("""COMPUTED_VALUE"""),23)</f>
        <v>23</v>
      </c>
      <c r="B28" s="172" t="str">
        <f ca="1">IFERROR(__xludf.DUMMYFUNCTION("""COMPUTED_VALUE"""),"Food Security")</f>
        <v>Food Security</v>
      </c>
      <c r="C28" s="172" t="str">
        <f ca="1">IFERROR(__xludf.DUMMYFUNCTION("""COMPUTED_VALUE"""),"Food Access")</f>
        <v>Food Access</v>
      </c>
      <c r="D28" s="173" t="str">
        <f ca="1">IFERROR(__xludf.DUMMYFUNCTION("""COMPUTED_VALUE"""),"Humanitarian Conditions")</f>
        <v>Humanitarian Conditions</v>
      </c>
      <c r="E28" s="173" t="str">
        <f ca="1">IFERROR(__xludf.DUMMYFUNCTION("""COMPUTED_VALUE"""),"Coping Mechanisms")</f>
        <v>Coping Mechanisms</v>
      </c>
      <c r="F28" s="173" t="str">
        <f ca="1">IFERROR(__xludf.DUMMYFUNCTION("""COMPUTED_VALUE"""),"Livelihood coping strategy (food) - 30 day recall")</f>
        <v>Livelihood coping strategy (food) - 30 day recall</v>
      </c>
      <c r="G28" s="174"/>
      <c r="H28" s="174"/>
      <c r="I28" s="174"/>
      <c r="J28" s="174"/>
      <c r="K28" s="175">
        <f ca="1">IFERROR(__xludf.DUMMYFUNCTION("""COMPUTED_VALUE"""),1)</f>
        <v>1</v>
      </c>
      <c r="L28" s="172" t="str">
        <f ca="1">IFERROR(__xludf.DUMMYFUNCTION("""COMPUTED_VALUE"""),"HH survey")</f>
        <v>HH survey</v>
      </c>
      <c r="M28" s="172" t="str">
        <f ca="1">IFERROR(__xludf.DUMMYFUNCTION("""COMPUTED_VALUE"""),"Food security assessment")</f>
        <v>Food security assessment</v>
      </c>
      <c r="N28" s="172" t="str">
        <f ca="1">IFERROR(__xludf.DUMMYFUNCTION("""COMPUTED_VALUE"""),"No stress, crisis or emergency coping observed")</f>
        <v>No stress, crisis or emergency coping observed</v>
      </c>
      <c r="O28" s="172" t="str">
        <f ca="1">IFERROR(__xludf.DUMMYFUNCTION("""COMPUTED_VALUE"""),"Stress strategies ")</f>
        <v xml:space="preserve">Stress strategies </v>
      </c>
      <c r="P28" s="172" t="str">
        <f ca="1">IFERROR(__xludf.DUMMYFUNCTION("""COMPUTED_VALUE"""),"Crisis strategies ")</f>
        <v xml:space="preserve">Crisis strategies </v>
      </c>
      <c r="Q28" s="172" t="str">
        <f ca="1">IFERROR(__xludf.DUMMYFUNCTION("""COMPUTED_VALUE"""),"Emergency strategies")</f>
        <v>Emergency strategies</v>
      </c>
      <c r="R28" s="172" t="str">
        <f ca="1">IFERROR(__xludf.DUMMYFUNCTION("""COMPUTED_VALUE"""),"Near exhaustion of coping capacity")</f>
        <v>Near exhaustion of coping capacity</v>
      </c>
      <c r="S28" s="172" t="str">
        <f ca="1">IFERROR(__xludf.DUMMYFUNCTION("""COMPUTED_VALUE"""),"1.1 Sold household assets/goods (radio, furniture, refrigerator, television, jewelry etc..)
1.2 Reduced non-food expenses on health (including drugs) and education
1.3 Sold productive assets or means of transport (sewing machine, wheelbarrow, bicycle, car"&amp;", etc..)
1.4 Spent savings 
1.5 Borrowed money / food from a formal lender / bank
1.6 Sold house or land
1.7 Withdrew children from school
1.8 Sold last female animals
1.9 Begging
1.10 Sold more animals (non-productive) than usual
")</f>
        <v xml:space="preserve">1.1 Sold household assets/goods (radio, furniture, refrigerator, television, jewelry etc..)
1.2 Reduced non-food expenses on health (including drugs) and education
1.3 Sold productive assets or means of transport (sewing machine, wheelbarrow, bicycle, car, etc..)
1.4 Spent savings 
1.5 Borrowed money / food from a formal lender / bank
1.6 Sold house or land
1.7 Withdrew children from school
1.8 Sold last female animals
1.9 Begging
1.10 Sold more animals (non-productive) than usual
</v>
      </c>
    </row>
    <row r="29" spans="1:19" ht="105" hidden="1" customHeight="1">
      <c r="A29" s="159">
        <f ca="1">IFERROR(__xludf.DUMMYFUNCTION("""COMPUTED_VALUE"""),24)</f>
        <v>24</v>
      </c>
      <c r="B29" s="172" t="str">
        <f ca="1">IFERROR(__xludf.DUMMYFUNCTION("""COMPUTED_VALUE"""),"Food Security")</f>
        <v>Food Security</v>
      </c>
      <c r="C29" s="172" t="str">
        <f ca="1">IFERROR(__xludf.DUMMYFUNCTION("""COMPUTED_VALUE"""),"Food Access")</f>
        <v>Food Access</v>
      </c>
      <c r="D29" s="173" t="str">
        <f ca="1">IFERROR(__xludf.DUMMYFUNCTION("""COMPUTED_VALUE"""),"Humanitarian Conditions")</f>
        <v>Humanitarian Conditions</v>
      </c>
      <c r="E29" s="173" t="str">
        <f ca="1">IFERROR(__xludf.DUMMYFUNCTION("""COMPUTED_VALUE"""),"Living Standards")</f>
        <v>Living Standards</v>
      </c>
      <c r="F29" s="173" t="str">
        <f ca="1">IFERROR(__xludf.DUMMYFUNCTION("""COMPUTED_VALUE"""),"Food Expenditure share")</f>
        <v>Food Expenditure share</v>
      </c>
      <c r="G29" s="174"/>
      <c r="H29" s="174"/>
      <c r="I29" s="174"/>
      <c r="J29" s="174"/>
      <c r="K29" s="175">
        <f ca="1">IFERROR(__xludf.DUMMYFUNCTION("""COMPUTED_VALUE"""),1)</f>
        <v>1</v>
      </c>
      <c r="L29" s="172" t="str">
        <f ca="1">IFERROR(__xludf.DUMMYFUNCTION("""COMPUTED_VALUE"""),"HH survey")</f>
        <v>HH survey</v>
      </c>
      <c r="M29" s="172" t="str">
        <f ca="1">IFERROR(__xludf.DUMMYFUNCTION("""COMPUTED_VALUE"""),"Food security assessment")</f>
        <v>Food security assessment</v>
      </c>
      <c r="N29" s="172" t="str">
        <f ca="1">IFERROR(__xludf.DUMMYFUNCTION("""COMPUTED_VALUE"""),"&lt;50%")</f>
        <v>&lt;50%</v>
      </c>
      <c r="O29" s="172" t="str">
        <f ca="1">IFERROR(__xludf.DUMMYFUNCTION("""COMPUTED_VALUE"""),"50-65%")</f>
        <v>50-65%</v>
      </c>
      <c r="P29" s="172" t="str">
        <f ca="1">IFERROR(__xludf.DUMMYFUNCTION("""COMPUTED_VALUE"""),"65-75%")</f>
        <v>65-75%</v>
      </c>
      <c r="Q29" s="172" t="str">
        <f ca="1">IFERROR(__xludf.DUMMYFUNCTION("""COMPUTED_VALUE"""),"75% - 85%")</f>
        <v>75% - 85%</v>
      </c>
      <c r="R29" s="172" t="str">
        <f ca="1">IFERROR(__xludf.DUMMYFUNCTION("""COMPUTED_VALUE"""),"&gt; 85%")</f>
        <v>&gt; 85%</v>
      </c>
      <c r="S29" s="172"/>
    </row>
    <row r="30" spans="1:19" ht="105" hidden="1" customHeight="1">
      <c r="A30" s="159">
        <f ca="1">IFERROR(__xludf.DUMMYFUNCTION("""COMPUTED_VALUE"""),25)</f>
        <v>25</v>
      </c>
      <c r="B30" s="172" t="str">
        <f ca="1">IFERROR(__xludf.DUMMYFUNCTION("""COMPUTED_VALUE"""),"Food Security")</f>
        <v>Food Security</v>
      </c>
      <c r="C30" s="172" t="str">
        <f ca="1">IFERROR(__xludf.DUMMYFUNCTION("""COMPUTED_VALUE"""),"Food Access")</f>
        <v>Food Access</v>
      </c>
      <c r="D30" s="173" t="str">
        <f ca="1">IFERROR(__xludf.DUMMYFUNCTION("""COMPUTED_VALUE"""),"Humanitarian Conditions")</f>
        <v>Humanitarian Conditions</v>
      </c>
      <c r="E30" s="173" t="str">
        <f ca="1">IFERROR(__xludf.DUMMYFUNCTION("""COMPUTED_VALUE"""),"Living Standards")</f>
        <v>Living Standards</v>
      </c>
      <c r="F30" s="173" t="str">
        <f ca="1">IFERROR(__xludf.DUMMYFUNCTION("""COMPUTED_VALUE"""),"Household Economy Approach (HEA)")</f>
        <v>Household Economy Approach (HEA)</v>
      </c>
      <c r="G30" s="174"/>
      <c r="H30" s="174"/>
      <c r="I30" s="174"/>
      <c r="J30" s="174"/>
      <c r="K30" s="175">
        <f ca="1">IFERROR(__xludf.DUMMYFUNCTION("""COMPUTED_VALUE"""),2)</f>
        <v>2</v>
      </c>
      <c r="L30" s="172" t="str">
        <f ca="1">IFERROR(__xludf.DUMMYFUNCTION("""COMPUTED_VALUE"""),"HH survey")</f>
        <v>HH survey</v>
      </c>
      <c r="M30" s="172" t="str">
        <f ca="1">IFERROR(__xludf.DUMMYFUNCTION("""COMPUTED_VALUE"""),"HEA survey")</f>
        <v>HEA survey</v>
      </c>
      <c r="N30" s="172" t="str">
        <f ca="1">IFERROR(__xludf.DUMMYFUNCTION("""COMPUTED_VALUE"""),"No livelihood protection deficit")</f>
        <v>No livelihood protection deficit</v>
      </c>
      <c r="O30" s="172" t="str">
        <f ca="1">IFERROR(__xludf.DUMMYFUNCTION("""COMPUTED_VALUE"""),"Small or moderate livelihood protection deficit &lt;80%")</f>
        <v>Small or moderate livelihood protection deficit &lt;80%</v>
      </c>
      <c r="P30" s="172" t="str">
        <f ca="1">IFERROR(__xludf.DUMMYFUNCTION("""COMPUTED_VALUE"""),"Livelihood protection deficit ≥80%, survival deficit &lt;20%")</f>
        <v>Livelihood protection deficit ≥80%, survival deficit &lt;20%</v>
      </c>
      <c r="Q30" s="172" t="str">
        <f ca="1">IFERROR(__xludf.DUMMYFUNCTION("""COMPUTED_VALUE"""),"Survival deficit ≥20% but &lt;50%")</f>
        <v>Survival deficit ≥20% but &lt;50%</v>
      </c>
      <c r="R30" s="172" t="str">
        <f ca="1">IFERROR(__xludf.DUMMYFUNCTION("""COMPUTED_VALUE"""),"Survival deficit ≥50%")</f>
        <v>Survival deficit ≥50%</v>
      </c>
      <c r="S30" s="172"/>
    </row>
    <row r="31" spans="1:19" ht="105" hidden="1" customHeight="1">
      <c r="A31" s="159">
        <f ca="1">IFERROR(__xludf.DUMMYFUNCTION("""COMPUTED_VALUE"""),26)</f>
        <v>26</v>
      </c>
      <c r="B31" s="172" t="str">
        <f ca="1">IFERROR(__xludf.DUMMYFUNCTION("""COMPUTED_VALUE"""),"Food Security")</f>
        <v>Food Security</v>
      </c>
      <c r="C31" s="172" t="str">
        <f ca="1">IFERROR(__xludf.DUMMYFUNCTION("""COMPUTED_VALUE"""),"Food Access")</f>
        <v>Food Access</v>
      </c>
      <c r="D31" s="173" t="str">
        <f ca="1">IFERROR(__xludf.DUMMYFUNCTION("""COMPUTED_VALUE"""),"Humanitarian Conditions")</f>
        <v>Humanitarian Conditions</v>
      </c>
      <c r="E31" s="173" t="str">
        <f ca="1">IFERROR(__xludf.DUMMYFUNCTION("""COMPUTED_VALUE"""),"Physical and Mental Wellbeing")</f>
        <v>Physical and Mental Wellbeing</v>
      </c>
      <c r="F31" s="173" t="str">
        <f ca="1">IFERROR(__xludf.DUMMYFUNCTION("""COMPUTED_VALUE"""),"Household Hunger Scale (HHS)")</f>
        <v>Household Hunger Scale (HHS)</v>
      </c>
      <c r="G31" s="174"/>
      <c r="H31" s="174"/>
      <c r="I31" s="174"/>
      <c r="J31" s="174"/>
      <c r="K31" s="175">
        <f ca="1">IFERROR(__xludf.DUMMYFUNCTION("""COMPUTED_VALUE"""),1)</f>
        <v>1</v>
      </c>
      <c r="L31" s="172" t="str">
        <f ca="1">IFERROR(__xludf.DUMMYFUNCTION("""COMPUTED_VALUE"""),"HH survey")</f>
        <v>HH survey</v>
      </c>
      <c r="M31" s="172" t="str">
        <f ca="1">IFERROR(__xludf.DUMMYFUNCTION("""COMPUTED_VALUE"""),"Food security assessment")</f>
        <v>Food security assessment</v>
      </c>
      <c r="N31" s="172" t="str">
        <f ca="1">IFERROR(__xludf.DUMMYFUNCTION("""COMPUTED_VALUE"""),"0 (none)")</f>
        <v>0 (none)</v>
      </c>
      <c r="O31" s="172" t="str">
        <f ca="1">IFERROR(__xludf.DUMMYFUNCTION("""COMPUTED_VALUE"""),"1 (slight)")</f>
        <v>1 (slight)</v>
      </c>
      <c r="P31" s="172" t="str">
        <f ca="1">IFERROR(__xludf.DUMMYFUNCTION("""COMPUTED_VALUE"""),"2 or 3 (moderate)")</f>
        <v>2 or 3 (moderate)</v>
      </c>
      <c r="Q31" s="172" t="str">
        <f ca="1">IFERROR(__xludf.DUMMYFUNCTION("""COMPUTED_VALUE"""),"4 (severe)")</f>
        <v>4 (severe)</v>
      </c>
      <c r="R31" s="172" t="str">
        <f ca="1">IFERROR(__xludf.DUMMYFUNCTION("""COMPUTED_VALUE"""),"5 or 6 (severe)")</f>
        <v>5 or 6 (severe)</v>
      </c>
      <c r="S31" s="172" t="str">
        <f ca="1">IFERROR(__xludf.DUMMYFUNCTION("""COMPUTED_VALUE"""),"Q1        In the past [4 weeks/30 days], was there ever no food to eat of any kind in your house because of lack of resources to get food?
    Q1a      How often did this happen in the past [4 weeks/30 days]?
Q2        In the past [4 weeks/30 days], did y"&amp;"ou or any household member go to sleep at night hungry because there was not enough food?
   Q2a      How often did this happen in the past [4 weeks/30 days]?
Q3        In the past [4 weeks/30 days], did you or any household member go a whole day and nigh"&amp;"t without eating anything at all because there was not enough food?
    Q3a      How often did this happen in the past [4 weeks/30 days]?
")</f>
        <v xml:space="preserve">Q1        In the past [4 weeks/30 days], was there ever no food to eat of any kind in your house because of lack of resources to get food?
    Q1a      How often did this happen in the past [4 weeks/30 days]?
Q2        In the past [4 weeks/30 days], did you or any household member go to sleep at night hungry because there was not enough food?
   Q2a      How often did this happen in the past [4 weeks/30 days]?
Q3        In the past [4 weeks/30 days], did you or any household member go a whole day and night without eating anything at all because there was not enough food?
    Q3a      How often did this happen in the past [4 weeks/30 days]?
</v>
      </c>
    </row>
    <row r="32" spans="1:19" ht="105" hidden="1" customHeight="1">
      <c r="A32" s="159">
        <f ca="1">IFERROR(__xludf.DUMMYFUNCTION("""COMPUTED_VALUE"""),27)</f>
        <v>27</v>
      </c>
      <c r="B32" s="172" t="str">
        <f ca="1">IFERROR(__xludf.DUMMYFUNCTION("""COMPUTED_VALUE"""),"Food Security")</f>
        <v>Food Security</v>
      </c>
      <c r="C32" s="172" t="str">
        <f ca="1">IFERROR(__xludf.DUMMYFUNCTION("""COMPUTED_VALUE"""),"Food Access")</f>
        <v>Food Access</v>
      </c>
      <c r="D32" s="173" t="str">
        <f ca="1">IFERROR(__xludf.DUMMYFUNCTION("""COMPUTED_VALUE"""),"Humanitarian Conditions")</f>
        <v>Humanitarian Conditions</v>
      </c>
      <c r="E32" s="173" t="str">
        <f ca="1">IFERROR(__xludf.DUMMYFUNCTION("""COMPUTED_VALUE"""),"Physical and Mental Wellbeing")</f>
        <v>Physical and Mental Wellbeing</v>
      </c>
      <c r="F32" s="173" t="str">
        <f ca="1">IFERROR(__xludf.DUMMYFUNCTION("""COMPUTED_VALUE"""),"Reduced Coping Strategies Index")</f>
        <v>Reduced Coping Strategies Index</v>
      </c>
      <c r="G32" s="174"/>
      <c r="H32" s="174"/>
      <c r="I32" s="174"/>
      <c r="J32" s="174"/>
      <c r="K32" s="175">
        <f ca="1">IFERROR(__xludf.DUMMYFUNCTION("""COMPUTED_VALUE"""),1)</f>
        <v>1</v>
      </c>
      <c r="L32" s="172" t="str">
        <f ca="1">IFERROR(__xludf.DUMMYFUNCTION("""COMPUTED_VALUE"""),"HH survey")</f>
        <v>HH survey</v>
      </c>
      <c r="M32" s="172" t="str">
        <f ca="1">IFERROR(__xludf.DUMMYFUNCTION("""COMPUTED_VALUE"""),"Food security assessment")</f>
        <v>Food security assessment</v>
      </c>
      <c r="N32" s="172" t="str">
        <f ca="1">IFERROR(__xludf.DUMMYFUNCTION("""COMPUTED_VALUE"""),"0 to 3")</f>
        <v>0 to 3</v>
      </c>
      <c r="O32" s="172" t="str">
        <f ca="1">IFERROR(__xludf.DUMMYFUNCTION("""COMPUTED_VALUE"""),"4 to 18")</f>
        <v>4 to 18</v>
      </c>
      <c r="P32" s="172" t="str">
        <f ca="1">IFERROR(__xludf.DUMMYFUNCTION("""COMPUTED_VALUE"""),"≥ 19")</f>
        <v>≥ 19</v>
      </c>
      <c r="Q32" s="172" t="str">
        <f ca="1">IFERROR(__xludf.DUMMYFUNCTION("""COMPUTED_VALUE"""),"≥ 19")</f>
        <v>≥ 19</v>
      </c>
      <c r="R32" s="172" t="str">
        <f ca="1">IFERROR(__xludf.DUMMYFUNCTION("""COMPUTED_VALUE"""),"≥ 19")</f>
        <v>≥ 19</v>
      </c>
      <c r="S32" s="172" t="str">
        <f ca="1">IFERROR(__xludf.DUMMYFUNCTION("""COMPUTED_VALUE"""),"1. Relied on less preferred, less expensive food
2. Borrowed food or relied on help from friends or relatives
3. Reduced the number of meals eaten per day
4. Reduced portion size of meals at meals time 
5. Restrict consumption by adults in order for y"&amp;"oung-children to eat
")</f>
        <v xml:space="preserve">1. Relied on less preferred, less expensive food
2. Borrowed food or relied on help from friends or relatives
3. Reduced the number of meals eaten per day
4. Reduced portion size of meals at meals time 
5. Restrict consumption by adults in order for young-children to eat
</v>
      </c>
    </row>
    <row r="33" spans="1:19" ht="105" hidden="1" customHeight="1">
      <c r="A33" s="159">
        <f ca="1">IFERROR(__xludf.DUMMYFUNCTION("""COMPUTED_VALUE"""),28)</f>
        <v>28</v>
      </c>
      <c r="B33" s="172" t="str">
        <f ca="1">IFERROR(__xludf.DUMMYFUNCTION("""COMPUTED_VALUE"""),"Food Security")</f>
        <v>Food Security</v>
      </c>
      <c r="C33" s="172" t="str">
        <f ca="1">IFERROR(__xludf.DUMMYFUNCTION("""COMPUTED_VALUE"""),"Food Availability/Access")</f>
        <v>Food Availability/Access</v>
      </c>
      <c r="D33" s="173" t="str">
        <f ca="1">IFERROR(__xludf.DUMMYFUNCTION("""COMPUTED_VALUE"""),"Humanitarian Conditions")</f>
        <v>Humanitarian Conditions</v>
      </c>
      <c r="E33" s="173" t="str">
        <f ca="1">IFERROR(__xludf.DUMMYFUNCTION("""COMPUTED_VALUE"""),"Living Standards")</f>
        <v>Living Standards</v>
      </c>
      <c r="F33" s="173" t="str">
        <f ca="1">IFERROR(__xludf.DUMMYFUNCTION("""COMPUTED_VALUE"""),"Food Production losses")</f>
        <v>Food Production losses</v>
      </c>
      <c r="G33" s="174"/>
      <c r="H33" s="174"/>
      <c r="I33" s="174"/>
      <c r="J33" s="174"/>
      <c r="K33" s="175">
        <f ca="1">IFERROR(__xludf.DUMMYFUNCTION("""COMPUTED_VALUE"""),1)</f>
        <v>1</v>
      </c>
      <c r="L33" s="172" t="str">
        <f ca="1">IFERROR(__xludf.DUMMYFUNCTION("""COMPUTED_VALUE"""),"HH survey, official estimates, remote sensing")</f>
        <v>HH survey, official estimates, remote sensing</v>
      </c>
      <c r="M33" s="172" t="str">
        <f ca="1">IFERROR(__xludf.DUMMYFUNCTION("""COMPUTED_VALUE"""),"Food security assessment, Agriculture survey (e.g. CFSAM), Ministry of Agriculture, Satellite imagery")</f>
        <v>Food security assessment, Agriculture survey (e.g. CFSAM), Ministry of Agriculture, Satellite imagery</v>
      </c>
      <c r="N33" s="172" t="str">
        <f ca="1">IFERROR(__xludf.DUMMYFUNCTION("""COMPUTED_VALUE"""),"In the average")</f>
        <v>In the average</v>
      </c>
      <c r="O33" s="172" t="str">
        <f ca="1">IFERROR(__xludf.DUMMYFUNCTION("""COMPUTED_VALUE"""),"Small production losses compared to average &lt;75%")</f>
        <v>Small production losses compared to average &lt;75%</v>
      </c>
      <c r="P33" s="172" t="str">
        <f ca="1">IFERROR(__xludf.DUMMYFUNCTION("""COMPUTED_VALUE"""),"Significant production losses compared to average 50-75%")</f>
        <v>Significant production losses compared to average 50-75%</v>
      </c>
      <c r="Q33" s="172" t="str">
        <f ca="1">IFERROR(__xludf.DUMMYFUNCTION("""COMPUTED_VALUE"""),"High production losses compared to average 25-50%")</f>
        <v>High production losses compared to average 25-50%</v>
      </c>
      <c r="R33" s="172" t="str">
        <f ca="1">IFERROR(__xludf.DUMMYFUNCTION("""COMPUTED_VALUE"""),"No production or near total crop loss &lt;25%")</f>
        <v>No production or near total crop loss &lt;25%</v>
      </c>
      <c r="S33" s="172" t="str">
        <f ca="1">IFERROR(__xludf.DUMMYFUNCTION("""COMPUTED_VALUE"""),"Considering main staple food in the area, compared to a normal year, using five years average or longer if food production has been affected by exceptional factors over several of the past 5 years. Note that these thresholds are not based on international"&amp;" standards, they need to be adjusted to the context.")</f>
        <v>Considering main staple food in the area, compared to a normal year, using five years average or longer if food production has been affected by exceptional factors over several of the past 5 years. Note that these thresholds are not based on international standards, they need to be adjusted to the context.</v>
      </c>
    </row>
    <row r="34" spans="1:19" ht="105" hidden="1" customHeight="1">
      <c r="A34" s="159">
        <f ca="1">IFERROR(__xludf.DUMMYFUNCTION("""COMPUTED_VALUE"""),29)</f>
        <v>29</v>
      </c>
      <c r="B34" s="172" t="str">
        <f ca="1">IFERROR(__xludf.DUMMYFUNCTION("""COMPUTED_VALUE"""),"Food Security")</f>
        <v>Food Security</v>
      </c>
      <c r="C34" s="172" t="str">
        <f ca="1">IFERROR(__xludf.DUMMYFUNCTION("""COMPUTED_VALUE"""),"Food Availability/Access")</f>
        <v>Food Availability/Access</v>
      </c>
      <c r="D34" s="173" t="str">
        <f ca="1">IFERROR(__xludf.DUMMYFUNCTION("""COMPUTED_VALUE"""),"Humanitarian Conditions")</f>
        <v>Humanitarian Conditions</v>
      </c>
      <c r="E34" s="173" t="str">
        <f ca="1">IFERROR(__xludf.DUMMYFUNCTION("""COMPUTED_VALUE"""),"Living Standards")</f>
        <v>Living Standards</v>
      </c>
      <c r="F34" s="173" t="str">
        <f ca="1">IFERROR(__xludf.DUMMYFUNCTION("""COMPUTED_VALUE"""),"Productive assets losses")</f>
        <v>Productive assets losses</v>
      </c>
      <c r="G34" s="174"/>
      <c r="H34" s="174"/>
      <c r="I34" s="174"/>
      <c r="J34" s="174"/>
      <c r="K34" s="175">
        <f ca="1">IFERROR(__xludf.DUMMYFUNCTION("""COMPUTED_VALUE"""),1)</f>
        <v>1</v>
      </c>
      <c r="L34" s="172" t="str">
        <f ca="1">IFERROR(__xludf.DUMMYFUNCTION("""COMPUTED_VALUE"""),"HH survey")</f>
        <v>HH survey</v>
      </c>
      <c r="M34" s="172" t="str">
        <f ca="1">IFERROR(__xludf.DUMMYFUNCTION("""COMPUTED_VALUE"""),"Food security, Agriculture, Livelihood assessment")</f>
        <v>Food security, Agriculture, Livelihood assessment</v>
      </c>
      <c r="N34" s="172" t="str">
        <f ca="1">IFERROR(__xludf.DUMMYFUNCTION("""COMPUTED_VALUE"""),"No livelihood asset loss")</f>
        <v>No livelihood asset loss</v>
      </c>
      <c r="O34" s="172" t="str">
        <f ca="1">IFERROR(__xludf.DUMMYFUNCTION("""COMPUTED_VALUE"""),"Moderate loss of livelihood assets")</f>
        <v>Moderate loss of livelihood assets</v>
      </c>
      <c r="P34" s="172" t="str">
        <f ca="1">IFERROR(__xludf.DUMMYFUNCTION("""COMPUTED_VALUE"""),"Significant loss of livelihood assets")</f>
        <v>Significant loss of livelihood assets</v>
      </c>
      <c r="Q34" s="172" t="str">
        <f ca="1">IFERROR(__xludf.DUMMYFUNCTION("""COMPUTED_VALUE"""),"Severe loss of livelihood assets")</f>
        <v>Severe loss of livelihood assets</v>
      </c>
      <c r="R34" s="172" t="str">
        <f ca="1">IFERROR(__xludf.DUMMYFUNCTION("""COMPUTED_VALUE"""),"Total loss of all productive assets")</f>
        <v>Total loss of all productive assets</v>
      </c>
      <c r="S34" s="172" t="str">
        <f ca="1">IFERROR(__xludf.DUMMYFUNCTION("""COMPUTED_VALUE"""),"Productive assets depending of agricultural subsectors: farming (land or access to land, seeds, perennial crops, key tools), livestock, fishing (access to sea, fishing gear and vessels)")</f>
        <v>Productive assets depending of agricultural subsectors: farming (land or access to land, seeds, perennial crops, key tools), livestock, fishing (access to sea, fishing gear and vessels)</v>
      </c>
    </row>
    <row r="35" spans="1:19" ht="105" hidden="1" customHeight="1">
      <c r="A35" s="159">
        <f ca="1">IFERROR(__xludf.DUMMYFUNCTION("""COMPUTED_VALUE"""),30)</f>
        <v>30</v>
      </c>
      <c r="B35" s="172" t="str">
        <f ca="1">IFERROR(__xludf.DUMMYFUNCTION("""COMPUTED_VALUE"""),"Food Security")</f>
        <v>Food Security</v>
      </c>
      <c r="C35" s="172" t="str">
        <f ca="1">IFERROR(__xludf.DUMMYFUNCTION("""COMPUTED_VALUE"""),"Food Availability/Access/Utilization")</f>
        <v>Food Availability/Access/Utilization</v>
      </c>
      <c r="D35" s="173" t="str">
        <f ca="1">IFERROR(__xludf.DUMMYFUNCTION("""COMPUTED_VALUE"""),"Humanitarian Conditions")</f>
        <v>Humanitarian Conditions</v>
      </c>
      <c r="E35" s="173" t="str">
        <f ca="1">IFERROR(__xludf.DUMMYFUNCTION("""COMPUTED_VALUE"""),"Physical and Mental Wellbeing")</f>
        <v>Physical and Mental Wellbeing</v>
      </c>
      <c r="F35" s="173" t="str">
        <f ca="1">IFERROR(__xludf.DUMMYFUNCTION("""COMPUTED_VALUE"""),"Food Consumption Score")</f>
        <v>Food Consumption Score</v>
      </c>
      <c r="G35" s="174"/>
      <c r="H35" s="174"/>
      <c r="I35" s="174"/>
      <c r="J35" s="174"/>
      <c r="K35" s="175">
        <f ca="1">IFERROR(__xludf.DUMMYFUNCTION("""COMPUTED_VALUE"""),1)</f>
        <v>1</v>
      </c>
      <c r="L35" s="172" t="str">
        <f ca="1">IFERROR(__xludf.DUMMYFUNCTION("""COMPUTED_VALUE"""),"HH survey")</f>
        <v>HH survey</v>
      </c>
      <c r="M35" s="172" t="str">
        <f ca="1">IFERROR(__xludf.DUMMYFUNCTION("""COMPUTED_VALUE"""),"Food security assessment")</f>
        <v>Food security assessment</v>
      </c>
      <c r="N35" s="172" t="str">
        <f ca="1">IFERROR(__xludf.DUMMYFUNCTION("""COMPUTED_VALUE"""),"Acceptable and stable")</f>
        <v>Acceptable and stable</v>
      </c>
      <c r="O35" s="172" t="str">
        <f ca="1">IFERROR(__xludf.DUMMYFUNCTION("""COMPUTED_VALUE"""),"Acceptable but deterioration from typical")</f>
        <v>Acceptable but deterioration from typical</v>
      </c>
      <c r="P35" s="172" t="str">
        <f ca="1">IFERROR(__xludf.DUMMYFUNCTION("""COMPUTED_VALUE"""),"Borderline")</f>
        <v>Borderline</v>
      </c>
      <c r="Q35" s="172" t="str">
        <f ca="1">IFERROR(__xludf.DUMMYFUNCTION("""COMPUTED_VALUE"""),"Poor")</f>
        <v>Poor</v>
      </c>
      <c r="R35" s="172" t="str">
        <f ca="1">IFERROR(__xludf.DUMMYFUNCTION("""COMPUTED_VALUE"""),"Poor")</f>
        <v>Poor</v>
      </c>
      <c r="S35" s="172" t="str">
        <f ca="1">IFERROR(__xludf.DUMMYFUNCTION("""COMPUTED_VALUE"""),"Food items/groups:
Cereals or tubers
Pulses and groundnuts
Milk and milk products
Eggs, meat, fish, shells
Vegetables
Fruits
Sugar
Oil
Condiments
")</f>
        <v xml:space="preserve">Food items/groups:
Cereals or tubers
Pulses and groundnuts
Milk and milk products
Eggs, meat, fish, shells
Vegetables
Fruits
Sugar
Oil
Condiments
</v>
      </c>
    </row>
    <row r="36" spans="1:19" ht="105" hidden="1" customHeight="1">
      <c r="A36" s="159">
        <f ca="1">IFERROR(__xludf.DUMMYFUNCTION("""COMPUTED_VALUE"""),31)</f>
        <v>31</v>
      </c>
      <c r="B36" s="172" t="str">
        <f ca="1">IFERROR(__xludf.DUMMYFUNCTION("""COMPUTED_VALUE"""),"Food Security")</f>
        <v>Food Security</v>
      </c>
      <c r="C36" s="172" t="str">
        <f ca="1">IFERROR(__xludf.DUMMYFUNCTION("""COMPUTED_VALUE"""),"Food Availability/Access/Utilization")</f>
        <v>Food Availability/Access/Utilization</v>
      </c>
      <c r="D36" s="173" t="str">
        <f ca="1">IFERROR(__xludf.DUMMYFUNCTION("""COMPUTED_VALUE"""),"Humanitarian Conditions")</f>
        <v>Humanitarian Conditions</v>
      </c>
      <c r="E36" s="173" t="str">
        <f ca="1">IFERROR(__xludf.DUMMYFUNCTION("""COMPUTED_VALUE"""),"Physical and Mental Wellbeing")</f>
        <v>Physical and Mental Wellbeing</v>
      </c>
      <c r="F36" s="173" t="str">
        <f ca="1">IFERROR(__xludf.DUMMYFUNCTION("""COMPUTED_VALUE"""),"IPC/CH - for all IPC/CH countries with updated analysis - if up-to-date IPC analysis results are not available, other FS indicators can be used for FS sector")</f>
        <v>IPC/CH - for all IPC/CH countries with updated analysis - if up-to-date IPC analysis results are not available, other FS indicators can be used for FS sector</v>
      </c>
      <c r="G36" s="174"/>
      <c r="H36" s="174"/>
      <c r="I36" s="174"/>
      <c r="J36" s="174"/>
      <c r="K36" s="175">
        <f ca="1">IFERROR(__xludf.DUMMYFUNCTION("""COMPUTED_VALUE"""),1)</f>
        <v>1</v>
      </c>
      <c r="L36" s="172" t="str">
        <f ca="1">IFERROR(__xludf.DUMMYFUNCTION("""COMPUTED_VALUE"""),"IPC analysis")</f>
        <v>IPC analysis</v>
      </c>
      <c r="M36" s="172" t="str">
        <f ca="1">IFERROR(__xludf.DUMMYFUNCTION("""COMPUTED_VALUE"""),"IPC analysis")</f>
        <v>IPC analysis</v>
      </c>
      <c r="N36" s="174"/>
      <c r="O36" s="174"/>
      <c r="P36" s="174"/>
      <c r="Q36" s="174"/>
      <c r="R36" s="172"/>
      <c r="S36" s="172"/>
    </row>
    <row r="37" spans="1:19" ht="105" hidden="1" customHeight="1">
      <c r="A37" s="159">
        <f ca="1">IFERROR(__xludf.DUMMYFUNCTION("""COMPUTED_VALUE"""),32)</f>
        <v>32</v>
      </c>
      <c r="B37" s="172" t="str">
        <f ca="1">IFERROR(__xludf.DUMMYFUNCTION("""COMPUTED_VALUE"""),"Food Security")</f>
        <v>Food Security</v>
      </c>
      <c r="C37" s="172" t="str">
        <f ca="1">IFERROR(__xludf.DUMMYFUNCTION("""COMPUTED_VALUE"""),"Food Utilization")</f>
        <v>Food Utilization</v>
      </c>
      <c r="D37" s="173" t="str">
        <f ca="1">IFERROR(__xludf.DUMMYFUNCTION("""COMPUTED_VALUE"""),"Humanitarian Conditions")</f>
        <v>Humanitarian Conditions</v>
      </c>
      <c r="E37" s="173" t="str">
        <f ca="1">IFERROR(__xludf.DUMMYFUNCTION("""COMPUTED_VALUE"""),"Physical and Mental Wellbeing")</f>
        <v>Physical and Mental Wellbeing</v>
      </c>
      <c r="F37" s="173" t="str">
        <f ca="1">IFERROR(__xludf.DUMMYFUNCTION("""COMPUTED_VALUE"""),"Household Dietary Diversity Score")</f>
        <v>Household Dietary Diversity Score</v>
      </c>
      <c r="G37" s="174"/>
      <c r="H37" s="174"/>
      <c r="I37" s="174"/>
      <c r="J37" s="174"/>
      <c r="K37" s="175">
        <f ca="1">IFERROR(__xludf.DUMMYFUNCTION("""COMPUTED_VALUE"""),2)</f>
        <v>2</v>
      </c>
      <c r="L37" s="172" t="str">
        <f ca="1">IFERROR(__xludf.DUMMYFUNCTION("""COMPUTED_VALUE"""),"HH survey")</f>
        <v>HH survey</v>
      </c>
      <c r="M37" s="172" t="str">
        <f ca="1">IFERROR(__xludf.DUMMYFUNCTION("""COMPUTED_VALUE"""),"Food security assessment")</f>
        <v>Food security assessment</v>
      </c>
      <c r="N37" s="172" t="str">
        <f ca="1">IFERROR(__xludf.DUMMYFUNCTION("""COMPUTED_VALUE"""),"5-12 food groups and stable")</f>
        <v>5-12 food groups and stable</v>
      </c>
      <c r="O37" s="172" t="str">
        <f ca="1">IFERROR(__xludf.DUMMYFUNCTION("""COMPUTED_VALUE"""),"5-FG but deterioration ≥1 FG from typical")</f>
        <v>5-FG but deterioration ≥1 FG from typical</v>
      </c>
      <c r="P37" s="172" t="str">
        <f ca="1">IFERROR(__xludf.DUMMYFUNCTION("""COMPUTED_VALUE"""),"3-4 FG")</f>
        <v>3-4 FG</v>
      </c>
      <c r="Q37" s="172" t="str">
        <f ca="1">IFERROR(__xludf.DUMMYFUNCTION("""COMPUTED_VALUE"""),"0-2 FG")</f>
        <v>0-2 FG</v>
      </c>
      <c r="R37" s="172" t="str">
        <f ca="1">IFERROR(__xludf.DUMMYFUNCTION("""COMPUTED_VALUE"""),"0-2 FG")</f>
        <v>0-2 FG</v>
      </c>
      <c r="S37" s="172"/>
    </row>
    <row r="38" spans="1:19" ht="105" hidden="1" customHeight="1">
      <c r="A38" s="159">
        <f ca="1">IFERROR(__xludf.DUMMYFUNCTION("""COMPUTED_VALUE"""),33)</f>
        <v>33</v>
      </c>
      <c r="B38" s="165" t="str">
        <f ca="1">IFERROR(__xludf.DUMMYFUNCTION("""COMPUTED_VALUE"""),"Health")</f>
        <v>Health</v>
      </c>
      <c r="C38" s="165" t="str">
        <f ca="1">IFERROR(__xludf.DUMMYFUNCTION("""COMPUTED_VALUE"""),"Child Health")</f>
        <v>Child Health</v>
      </c>
      <c r="D38" s="166" t="str">
        <f ca="1">IFERROR(__xludf.DUMMYFUNCTION("""COMPUTED_VALUE"""),"Humanitarian conditions")</f>
        <v>Humanitarian conditions</v>
      </c>
      <c r="E38" s="166" t="str">
        <f ca="1">IFERROR(__xludf.DUMMYFUNCTION("""COMPUTED_VALUE"""),"Physical and Mental Wellbeing")</f>
        <v>Physical and Mental Wellbeing</v>
      </c>
      <c r="F38" s="166" t="str">
        <f ca="1">IFERROR(__xludf.DUMMYFUNCTION("""COMPUTED_VALUE"""),"Coverage of DTC3 (DPT3 / PENTA3) in &lt; 1 year old, by administrative unit")</f>
        <v>Coverage of DTC3 (DPT3 / PENTA3) in &lt; 1 year old, by administrative unit</v>
      </c>
      <c r="G38" s="165"/>
      <c r="H38" s="165" t="s">
        <v>1011</v>
      </c>
      <c r="I38" s="165" t="s">
        <v>1011</v>
      </c>
      <c r="J38" s="165" t="s">
        <v>1011</v>
      </c>
      <c r="K38" s="167">
        <f ca="1">IFERROR(__xludf.DUMMYFUNCTION("""COMPUTED_VALUE"""),1)</f>
        <v>1</v>
      </c>
      <c r="L38" s="165"/>
      <c r="M38" s="165" t="str">
        <f ca="1">IFERROR(__xludf.DUMMYFUNCTION("""COMPUTED_VALUE"""),"HMIS/HIS, Survey")</f>
        <v>HMIS/HIS, Survey</v>
      </c>
      <c r="N38" s="166" t="str">
        <f ca="1">IFERROR(__xludf.DUMMYFUNCTION("""COMPUTED_VALUE"""),"&gt;= 95%")</f>
        <v>&gt;= 95%</v>
      </c>
      <c r="O38" s="166" t="str">
        <f ca="1">IFERROR(__xludf.DUMMYFUNCTION("""COMPUTED_VALUE"""),"90% &lt; 95%")</f>
        <v>90% &lt; 95%</v>
      </c>
      <c r="P38" s="166" t="str">
        <f ca="1">IFERROR(__xludf.DUMMYFUNCTION("""COMPUTED_VALUE"""),"85% &lt; 89%")</f>
        <v>85% &lt; 89%</v>
      </c>
      <c r="Q38" s="166" t="str">
        <f ca="1">IFERROR(__xludf.DUMMYFUNCTION("""COMPUTED_VALUE"""),"80% &lt; 84%")</f>
        <v>80% &lt; 84%</v>
      </c>
      <c r="R38" s="166" t="str">
        <f ca="1">IFERROR(__xludf.DUMMYFUNCTION("""COMPUTED_VALUE"""),"&lt; = 80%")</f>
        <v>&lt; = 80%</v>
      </c>
      <c r="S38" s="165" t="str">
        <f ca="1">IFERROR(__xludf.DUMMYFUNCTION("""COMPUTED_VALUE"""),"This data may be available through projections, but if so, the quality of the data should be checked and noted.
In some surveys data is collected from children aged 12-23 months.  Please be sure to reference the age range that is the focus of the data.  O"&amp;"nly the first threshold has been tested and has evidence behind it.  The others have been arbitrarily selected and should not be considered accurate measures at this stage")</f>
        <v>This data may be available through projections, but if so, the quality of the data should be checked and noted.
In some surveys data is collected from children aged 12-23 months.  Please be sure to reference the age range that is the focus of the data.  Only the first threshold has been tested and has evidence behind it.  The others have been arbitrarily selected and should not be considered accurate measures at this stage</v>
      </c>
    </row>
    <row r="39" spans="1:19" ht="105" hidden="1" customHeight="1">
      <c r="A39" s="159">
        <f ca="1">IFERROR(__xludf.DUMMYFUNCTION("""COMPUTED_VALUE"""),34)</f>
        <v>34</v>
      </c>
      <c r="B39" s="165" t="str">
        <f ca="1">IFERROR(__xludf.DUMMYFUNCTION("""COMPUTED_VALUE"""),"Health")</f>
        <v>Health</v>
      </c>
      <c r="C39" s="165" t="str">
        <f ca="1">IFERROR(__xludf.DUMMYFUNCTION("""COMPUTED_VALUE"""),"Communicable and Non Communicable Diseases")</f>
        <v>Communicable and Non Communicable Diseases</v>
      </c>
      <c r="D39" s="166" t="str">
        <f ca="1">IFERROR(__xludf.DUMMYFUNCTION("""COMPUTED_VALUE"""),"Humanitarian conditions")</f>
        <v>Humanitarian conditions</v>
      </c>
      <c r="E39" s="166" t="str">
        <f ca="1">IFERROR(__xludf.DUMMYFUNCTION("""COMPUTED_VALUE"""),"Physical and Mental Wellbeing")</f>
        <v>Physical and Mental Wellbeing</v>
      </c>
      <c r="F39" s="166" t="str">
        <f ca="1">IFERROR(__xludf.DUMMYFUNCTION("""COMPUTED_VALUE"""),"Case Fatality Ratio (CFR) for most common diseases")</f>
        <v>Case Fatality Ratio (CFR) for most common diseases</v>
      </c>
      <c r="G39" s="165"/>
      <c r="H39" s="165" t="s">
        <v>1011</v>
      </c>
      <c r="I39" s="165" t="s">
        <v>1011</v>
      </c>
      <c r="J39" s="165" t="s">
        <v>1011</v>
      </c>
      <c r="K39" s="167">
        <f ca="1">IFERROR(__xludf.DUMMYFUNCTION("""COMPUTED_VALUE"""),1)</f>
        <v>1</v>
      </c>
      <c r="L39" s="165"/>
      <c r="M39" s="165" t="str">
        <f ca="1">IFERROR(__xludf.DUMMYFUNCTION("""COMPUTED_VALUE"""),"Prospective HF based surveillance")</f>
        <v>Prospective HF based surveillance</v>
      </c>
      <c r="N39" s="166"/>
      <c r="O39" s="166"/>
      <c r="P39" s="166"/>
      <c r="Q39" s="166"/>
      <c r="R39" s="166"/>
      <c r="S39" s="165" t="str">
        <f ca="1">IFERROR(__xludf.DUMMYFUNCTION("""COMPUTED_VALUE"""),"Mixture of disease severity and of quality of health care. Most likely will be biased upwards because only more severe cases normally go to clinic. This indicator is primarily a country-level measurement and cannot be easily aggregated for use at higher l"&amp;"evels.
The list of diseases is context specific.
Data collection can be problematic as health facility surveillance may have low sensitivity for conditions that do not commonly go to clinic. Access to health services is another factor")</f>
        <v>Mixture of disease severity and of quality of health care. Most likely will be biased upwards because only more severe cases normally go to clinic. This indicator is primarily a country-level measurement and cannot be easily aggregated for use at higher levels.
The list of diseases is context specific.
Data collection can be problematic as health facility surveillance may have low sensitivity for conditions that do not commonly go to clinic. Access to health services is another factor</v>
      </c>
    </row>
    <row r="40" spans="1:19" ht="105" hidden="1" customHeight="1">
      <c r="A40" s="159">
        <f ca="1">IFERROR(__xludf.DUMMYFUNCTION("""COMPUTED_VALUE"""),35)</f>
        <v>35</v>
      </c>
      <c r="B40" s="165" t="str">
        <f ca="1">IFERROR(__xludf.DUMMYFUNCTION("""COMPUTED_VALUE"""),"Health")</f>
        <v>Health</v>
      </c>
      <c r="C40" s="165" t="str">
        <f ca="1">IFERROR(__xludf.DUMMYFUNCTION("""COMPUTED_VALUE"""),"Communicable and Non Communicable Diseases")</f>
        <v>Communicable and Non Communicable Diseases</v>
      </c>
      <c r="D40" s="166" t="str">
        <f ca="1">IFERROR(__xludf.DUMMYFUNCTION("""COMPUTED_VALUE"""),"Humanitarian conditions")</f>
        <v>Humanitarian conditions</v>
      </c>
      <c r="E40" s="166" t="str">
        <f ca="1">IFERROR(__xludf.DUMMYFUNCTION("""COMPUTED_VALUE"""),"Physical and Mental Wellbeing")</f>
        <v>Physical and Mental Wellbeing</v>
      </c>
      <c r="F40" s="166" t="str">
        <f ca="1">IFERROR(__xludf.DUMMYFUNCTION("""COMPUTED_VALUE"""),"Number of cases or incidence rates for selected diseases relevant to the local context (cholera, measles, acute meningitis, others)")</f>
        <v>Number of cases or incidence rates for selected diseases relevant to the local context (cholera, measles, acute meningitis, others)</v>
      </c>
      <c r="G40" s="165"/>
      <c r="H40" s="165" t="s">
        <v>1011</v>
      </c>
      <c r="I40" s="165" t="s">
        <v>1011</v>
      </c>
      <c r="J40" s="165" t="s">
        <v>20</v>
      </c>
      <c r="K40" s="167">
        <f ca="1">IFERROR(__xludf.DUMMYFUNCTION("""COMPUTED_VALUE"""),1)</f>
        <v>1</v>
      </c>
      <c r="L40" s="165"/>
      <c r="M40" s="165" t="str">
        <f ca="1">IFERROR(__xludf.DUMMYFUNCTION("""COMPUTED_VALUE"""),"EWARS, IRA, RHA prospective HF based surveillance")</f>
        <v>EWARS, IRA, RHA prospective HF based surveillance</v>
      </c>
      <c r="N40" s="166"/>
      <c r="O40" s="166"/>
      <c r="P40" s="166"/>
      <c r="Q40" s="166"/>
      <c r="R40" s="166"/>
      <c r="S40" s="165" t="str">
        <f ca="1">IFERROR(__xludf.DUMMYFUNCTION("""COMPUTED_VALUE"""),"This indicator is primarily a country-level measurement and cannot be easily aggregated for use at higher levels.
The list of diseases is context specific.
Data collection can be problematic as health facility surveillance may have low sensitivity for con"&amp;"ditions that do not commonly go to clinic. Access to health services is another factor")</f>
        <v>This indicator is primarily a country-level measurement and cannot be easily aggregated for use at higher levels.
The list of diseases is context specific.
Data collection can be problematic as health facility surveillance may have low sensitivity for conditions that do not commonly go to clinic. Access to health services is another factor</v>
      </c>
    </row>
    <row r="41" spans="1:19" ht="105" customHeight="1">
      <c r="A41" s="159">
        <f ca="1">IFERROR(__xludf.DUMMYFUNCTION("""COMPUTED_VALUE"""),36)</f>
        <v>36</v>
      </c>
      <c r="B41" s="165" t="str">
        <f ca="1">IFERROR(__xludf.DUMMYFUNCTION("""COMPUTED_VALUE"""),"Health")</f>
        <v>Health</v>
      </c>
      <c r="C41" s="165" t="str">
        <f ca="1">IFERROR(__xludf.DUMMYFUNCTION("""COMPUTED_VALUE"""),"Communicable and Non Communicable Diseases")</f>
        <v>Communicable and Non Communicable Diseases</v>
      </c>
      <c r="D41" s="166" t="str">
        <f ca="1">IFERROR(__xludf.DUMMYFUNCTION("""COMPUTED_VALUE"""),"Humanitarian conditions")</f>
        <v>Humanitarian conditions</v>
      </c>
      <c r="E41" s="166" t="str">
        <f ca="1">IFERROR(__xludf.DUMMYFUNCTION("""COMPUTED_VALUE"""),"Physical and Mental Wellbeing")</f>
        <v>Physical and Mental Wellbeing</v>
      </c>
      <c r="F41" s="166" t="str">
        <f ca="1">IFERROR(__xludf.DUMMYFUNCTION("""COMPUTED_VALUE"""),"Percentage of children aged six months to 15 years who have received measles vaccination")</f>
        <v>Percentage of children aged six months to 15 years who have received measles vaccination</v>
      </c>
      <c r="G41" s="165"/>
      <c r="H41" s="165" t="s">
        <v>1011</v>
      </c>
      <c r="I41" s="165" t="s">
        <v>1134</v>
      </c>
      <c r="J41" s="165" t="s">
        <v>20</v>
      </c>
      <c r="K41" s="167">
        <f ca="1">IFERROR(__xludf.DUMMYFUNCTION("""COMPUTED_VALUE"""),2)</f>
        <v>2</v>
      </c>
      <c r="L41" s="165"/>
      <c r="M41" s="165" t="str">
        <f ca="1">IFERROR(__xludf.DUMMYFUNCTION("""COMPUTED_VALUE"""),"VCE, HMIS")</f>
        <v>VCE, HMIS</v>
      </c>
      <c r="N41" s="166" t="str">
        <f ca="1">IFERROR(__xludf.DUMMYFUNCTION("""COMPUTED_VALUE"""),"&gt;95% in camps /urban areas
&gt;90% in scattered or rural areas")</f>
        <v>&gt;95% in camps /urban areas
&gt;90% in scattered or rural areas</v>
      </c>
      <c r="O41" s="166" t="str">
        <f ca="1">IFERROR(__xludf.DUMMYFUNCTION("""COMPUTED_VALUE"""),"&gt;95% in camps /urban areas
&gt;90% in scattered or rural areas")</f>
        <v>&gt;95% in camps /urban areas
&gt;90% in scattered or rural areas</v>
      </c>
      <c r="P41" s="166" t="str">
        <f ca="1">IFERROR(__xludf.DUMMYFUNCTION("""COMPUTED_VALUE"""),"90% &gt;= 95% urban and camps
85% &gt;= 90% in scattered or rural areas")</f>
        <v>90% &gt;= 95% urban and camps
85% &gt;= 90% in scattered or rural areas</v>
      </c>
      <c r="Q41" s="166" t="str">
        <f ca="1">IFERROR(__xludf.DUMMYFUNCTION("""COMPUTED_VALUE"""),"85% &gt;= 89% urban and camps
80% &gt;= 84% in scattered or rural areas")</f>
        <v>85% &gt;= 89% urban and camps
80% &gt;= 84% in scattered or rural areas</v>
      </c>
      <c r="R41" s="166" t="str">
        <f ca="1">IFERROR(__xludf.DUMMYFUNCTION("""COMPUTED_VALUE"""),"&lt; 85% urban and camps
&lt; 80% in scattered or rural areas")</f>
        <v>&lt; 85% urban and camps
&lt; 80% in scattered or rural areas</v>
      </c>
      <c r="S41" s="165" t="str">
        <f ca="1">IFERROR(__xludf.DUMMYFUNCTION("""COMPUTED_VALUE"""),"This indicator is used to estimate vaccine coverage of the total EPI strategy. To avoid overestimation, measles vaccination coverage is used as proxy since it is usually lower than DPT3 coverage. Both indicators should be calculated on a yearly basis and "&amp;"can provide good indication of health system performance.
It is necessary to assess the quality of the available data.   Only the first threshold has been tested and has evidence behind it.  The others have been arbitrarily selected and should not be cons"&amp;"idered accurate measures at this stage")</f>
        <v>This indicator is used to estimate vaccine coverage of the total EPI strategy. To avoid overestimation, measles vaccination coverage is used as proxy since it is usually lower than DPT3 coverage. Both indicators should be calculated on a yearly basis and can provide good indication of health system performance.
It is necessary to assess the quality of the available data.   Only the first threshold has been tested and has evidence behind it.  The others have been arbitrarily selected and should not be considered accurate measures at this stage</v>
      </c>
    </row>
    <row r="42" spans="1:19" ht="105" hidden="1" customHeight="1">
      <c r="A42" s="159">
        <f ca="1">IFERROR(__xludf.DUMMYFUNCTION("""COMPUTED_VALUE"""),37)</f>
        <v>37</v>
      </c>
      <c r="B42" s="165" t="str">
        <f ca="1">IFERROR(__xludf.DUMMYFUNCTION("""COMPUTED_VALUE"""),"Health")</f>
        <v>Health</v>
      </c>
      <c r="C42" s="165" t="str">
        <f ca="1">IFERROR(__xludf.DUMMYFUNCTION("""COMPUTED_VALUE"""),"Gender Based Violence")</f>
        <v>Gender Based Violence</v>
      </c>
      <c r="D42" s="166" t="str">
        <f ca="1">IFERROR(__xludf.DUMMYFUNCTION("""COMPUTED_VALUE"""),"Impact")</f>
        <v>Impact</v>
      </c>
      <c r="E42" s="166" t="str">
        <f ca="1">IFERROR(__xludf.DUMMYFUNCTION("""COMPUTED_VALUE"""),"Impact on Services")</f>
        <v>Impact on Services</v>
      </c>
      <c r="F42" s="166" t="str">
        <f ca="1">IFERROR(__xludf.DUMMYFUNCTION("""COMPUTED_VALUE"""),"% of health facilities providing Emergency contraception, Post exposure Prophilaxis and Sexual Transmitted Infection treatment (disaggregate by which of the three services are being provided)")</f>
        <v>% of health facilities providing Emergency contraception, Post exposure Prophilaxis and Sexual Transmitted Infection treatment (disaggregate by which of the three services are being provided)</v>
      </c>
      <c r="G42" s="165"/>
      <c r="H42" s="165" t="s">
        <v>1011</v>
      </c>
      <c r="I42" s="165" t="s">
        <v>1137</v>
      </c>
      <c r="J42" s="165" t="s">
        <v>18</v>
      </c>
      <c r="K42" s="167">
        <f ca="1">IFERROR(__xludf.DUMMYFUNCTION("""COMPUTED_VALUE"""),0)</f>
        <v>0</v>
      </c>
      <c r="L42" s="165"/>
      <c r="M42" s="165" t="str">
        <f ca="1">IFERROR(__xludf.DUMMYFUNCTION("""COMPUTED_VALUE"""),"HeRAMS or similar service")</f>
        <v>HeRAMS or similar service</v>
      </c>
      <c r="N42" s="166" t="str">
        <f ca="1">IFERROR(__xludf.DUMMYFUNCTION("""COMPUTED_VALUE"""),"90%+")</f>
        <v>90%+</v>
      </c>
      <c r="O42" s="166" t="str">
        <f ca="1">IFERROR(__xludf.DUMMYFUNCTION("""COMPUTED_VALUE"""),"90%+")</f>
        <v>90%+</v>
      </c>
      <c r="P42" s="166" t="str">
        <f ca="1">IFERROR(__xludf.DUMMYFUNCTION("""COMPUTED_VALUE"""),"80% &gt;=  89%")</f>
        <v>80% &gt;=  89%</v>
      </c>
      <c r="Q42" s="166" t="str">
        <f ca="1">IFERROR(__xludf.DUMMYFUNCTION("""COMPUTED_VALUE"""),"70 &gt;= 79%")</f>
        <v>70 &gt;= 79%</v>
      </c>
      <c r="R42" s="166" t="str">
        <f ca="1">IFERROR(__xludf.DUMMYFUNCTION("""COMPUTED_VALUE"""),"&lt; 70%")</f>
        <v>&lt; 70%</v>
      </c>
      <c r="S42" s="165" t="str">
        <f ca="1">IFERROR(__xludf.DUMMYFUNCTION("""COMPUTED_VALUE"""),"Comprehensive post-rape care -for this indicator- is defined as offering EC, PEP and STI treatment.  Only the first threshold has been tested and has evidence behind it.  The others have been arbitrarily selected and should not be considered accurate meas"&amp;"ures at this stage")</f>
        <v>Comprehensive post-rape care -for this indicator- is defined as offering EC, PEP and STI treatment.  Only the first threshold has been tested and has evidence behind it.  The others have been arbitrarily selected and should not be considered accurate measures at this stage</v>
      </c>
    </row>
    <row r="43" spans="1:19" ht="105" customHeight="1">
      <c r="A43" s="159">
        <f ca="1">IFERROR(__xludf.DUMMYFUNCTION("""COMPUTED_VALUE"""),38)</f>
        <v>38</v>
      </c>
      <c r="B43" s="165" t="str">
        <f ca="1">IFERROR(__xludf.DUMMYFUNCTION("""COMPUTED_VALUE"""),"Health")</f>
        <v>Health</v>
      </c>
      <c r="C43" s="165" t="str">
        <f ca="1">IFERROR(__xludf.DUMMYFUNCTION("""COMPUTED_VALUE"""),"General Clinical Services")</f>
        <v>General Clinical Services</v>
      </c>
      <c r="D43" s="166" t="str">
        <f ca="1">IFERROR(__xludf.DUMMYFUNCTION("""COMPUTED_VALUE"""),"Humanitarian conditions")</f>
        <v>Humanitarian conditions</v>
      </c>
      <c r="E43" s="166" t="str">
        <f ca="1">IFERROR(__xludf.DUMMYFUNCTION("""COMPUTED_VALUE"""),"Living Standards")</f>
        <v>Living Standards</v>
      </c>
      <c r="F43" s="166" t="str">
        <f ca="1">IFERROR(__xludf.DUMMYFUNCTION("""COMPUTED_VALUE"""),"Number of inpatient beds per 10,000")</f>
        <v>Number of inpatient beds per 10,000</v>
      </c>
      <c r="G43" s="165"/>
      <c r="H43" s="165" t="s">
        <v>1011</v>
      </c>
      <c r="I43" s="165" t="s">
        <v>1140</v>
      </c>
      <c r="J43" s="165" t="s">
        <v>20</v>
      </c>
      <c r="K43" s="167">
        <f ca="1">IFERROR(__xludf.DUMMYFUNCTION("""COMPUTED_VALUE"""),0)</f>
        <v>0</v>
      </c>
      <c r="L43" s="165"/>
      <c r="M43" s="165" t="str">
        <f ca="1">IFERROR(__xludf.DUMMYFUNCTION("""COMPUTED_VALUE"""),"HeRAMS, RHA")</f>
        <v>HeRAMS, RHA</v>
      </c>
      <c r="N43" s="166" t="str">
        <f ca="1">IFERROR(__xludf.DUMMYFUNCTION("""COMPUTED_VALUE"""),"&gt;= 18")</f>
        <v>&gt;= 18</v>
      </c>
      <c r="O43" s="166" t="str">
        <f ca="1">IFERROR(__xludf.DUMMYFUNCTION("""COMPUTED_VALUE"""),"&gt;= 18")</f>
        <v>&gt;= 18</v>
      </c>
      <c r="P43" s="166" t="str">
        <f ca="1">IFERROR(__xludf.DUMMYFUNCTION("""COMPUTED_VALUE"""),"12 &lt; =17")</f>
        <v>12 &lt; =17</v>
      </c>
      <c r="Q43" s="166" t="str">
        <f ca="1">IFERROR(__xludf.DUMMYFUNCTION("""COMPUTED_VALUE"""),"6 &lt; = 11")</f>
        <v>6 &lt; = 11</v>
      </c>
      <c r="R43" s="166" t="str">
        <f ca="1">IFERROR(__xludf.DUMMYFUNCTION("""COMPUTED_VALUE"""),"&lt;= 5")</f>
        <v>&lt;= 5</v>
      </c>
      <c r="S43" s="165" t="str">
        <f ca="1">IFERROR(__xludf.DUMMYFUNCTION("""COMPUTED_VALUE"""),"Indicator for the availability of hospital beds across crisis areas and proxy indicator of equity in the allocation of resources.  Only the first threshold has been tested and has evidence behind it.  The others have been arbitrarily selected and should n"&amp;"ot be considered accurate measures at this stage")</f>
        <v>Indicator for the availability of hospital beds across crisis areas and proxy indicator of equity in the allocation of resources.  Only the first threshold has been tested and has evidence behind it.  The others have been arbitrarily selected and should not be considered accurate measures at this stage</v>
      </c>
    </row>
    <row r="44" spans="1:19" ht="105" customHeight="1">
      <c r="A44" s="159">
        <f ca="1">IFERROR(__xludf.DUMMYFUNCTION("""COMPUTED_VALUE"""),39)</f>
        <v>39</v>
      </c>
      <c r="B44" s="165" t="str">
        <f ca="1">IFERROR(__xludf.DUMMYFUNCTION("""COMPUTED_VALUE"""),"Health")</f>
        <v>Health</v>
      </c>
      <c r="C44" s="165" t="str">
        <f ca="1">IFERROR(__xludf.DUMMYFUNCTION("""COMPUTED_VALUE"""),"General Clinical Services")</f>
        <v>General Clinical Services</v>
      </c>
      <c r="D44" s="166" t="str">
        <f ca="1">IFERROR(__xludf.DUMMYFUNCTION("""COMPUTED_VALUE"""),"Humanitarian conditions")</f>
        <v>Humanitarian conditions</v>
      </c>
      <c r="E44" s="166" t="str">
        <f ca="1">IFERROR(__xludf.DUMMYFUNCTION("""COMPUTED_VALUE"""),"Living Standards")</f>
        <v>Living Standards</v>
      </c>
      <c r="F44" s="166" t="str">
        <f ca="1">IFERROR(__xludf.DUMMYFUNCTION("""COMPUTED_VALUE"""),"Percentage of population that can access primary healthcare within one hour’s walk from dwellings")</f>
        <v>Percentage of population that can access primary healthcare within one hour’s walk from dwellings</v>
      </c>
      <c r="G44" s="165"/>
      <c r="H44" s="165" t="s">
        <v>20</v>
      </c>
      <c r="I44" s="165" t="s">
        <v>1139</v>
      </c>
      <c r="J44" s="165" t="s">
        <v>20</v>
      </c>
      <c r="K44" s="167">
        <f ca="1">IFERROR(__xludf.DUMMYFUNCTION("""COMPUTED_VALUE"""),1)</f>
        <v>1</v>
      </c>
      <c r="L44" s="165"/>
      <c r="M44" s="165" t="str">
        <f ca="1">IFERROR(__xludf.DUMMYFUNCTION("""COMPUTED_VALUE"""),"Survey")</f>
        <v>Survey</v>
      </c>
      <c r="N44" s="166" t="str">
        <f ca="1">IFERROR(__xludf.DUMMYFUNCTION("""COMPUTED_VALUE"""),"&gt;= 80%")</f>
        <v>&gt;= 80%</v>
      </c>
      <c r="O44" s="166" t="str">
        <f ca="1">IFERROR(__xludf.DUMMYFUNCTION("""COMPUTED_VALUE"""),"&gt;= 80%")</f>
        <v>&gt;= 80%</v>
      </c>
      <c r="P44" s="166" t="str">
        <f ca="1">IFERROR(__xludf.DUMMYFUNCTION("""COMPUTED_VALUE"""),"70% &lt; 79%")</f>
        <v>70% &lt; 79%</v>
      </c>
      <c r="Q44" s="166" t="str">
        <f ca="1">IFERROR(__xludf.DUMMYFUNCTION("""COMPUTED_VALUE"""),"60% &lt; 69%")</f>
        <v>60% &lt; 69%</v>
      </c>
      <c r="R44" s="166" t="str">
        <f ca="1">IFERROR(__xludf.DUMMYFUNCTION("""COMPUTED_VALUE"""),"&lt; 60%")</f>
        <v>&lt; 60%</v>
      </c>
      <c r="S44" s="165" t="str">
        <f ca="1">IFERROR(__xludf.DUMMYFUNCTION("""COMPUTED_VALUE"""),"Only the first threshold has been tested and has evidence behind it.  The others have been arbitrarily selected and should not be considered accurate measures at this stage")</f>
        <v>Only the first threshold has been tested and has evidence behind it.  The others have been arbitrarily selected and should not be considered accurate measures at this stage</v>
      </c>
    </row>
    <row r="45" spans="1:19" ht="105" hidden="1" customHeight="1">
      <c r="A45" s="159">
        <f ca="1">IFERROR(__xludf.DUMMYFUNCTION("""COMPUTED_VALUE"""),40)</f>
        <v>40</v>
      </c>
      <c r="B45" s="165" t="str">
        <f ca="1">IFERROR(__xludf.DUMMYFUNCTION("""COMPUTED_VALUE"""),"Health")</f>
        <v>Health</v>
      </c>
      <c r="C45" s="166" t="str">
        <f ca="1">IFERROR(__xludf.DUMMYFUNCTION("""COMPUTED_VALUE"""),"General Clinical Services")</f>
        <v>General Clinical Services</v>
      </c>
      <c r="D45" s="166" t="str">
        <f ca="1">IFERROR(__xludf.DUMMYFUNCTION("""COMPUTED_VALUE"""),"Impact")</f>
        <v>Impact</v>
      </c>
      <c r="E45" s="166" t="str">
        <f ca="1">IFERROR(__xludf.DUMMYFUNCTION("""COMPUTED_VALUE"""),"Impact on Services")</f>
        <v>Impact on Services</v>
      </c>
      <c r="F45" s="166" t="str">
        <f ca="1">IFERROR(__xludf.DUMMYFUNCTION("""COMPUTED_VALUE"""),"Number of days essential medicines are not available in a one month period")</f>
        <v>Number of days essential medicines are not available in a one month period</v>
      </c>
      <c r="G45" s="165"/>
      <c r="H45" s="165" t="s">
        <v>1011</v>
      </c>
      <c r="I45" s="165" t="s">
        <v>20</v>
      </c>
      <c r="J45" s="165" t="s">
        <v>18</v>
      </c>
      <c r="K45" s="167">
        <f ca="1">IFERROR(__xludf.DUMMYFUNCTION("""COMPUTED_VALUE"""),1)</f>
        <v>1</v>
      </c>
      <c r="L45" s="165"/>
      <c r="M45" s="165" t="str">
        <f ca="1">IFERROR(__xludf.DUMMYFUNCTION("""COMPUTED_VALUE"""),"IRA, RHA, Surveys, Broader survey of health facilities")</f>
        <v>IRA, RHA, Surveys, Broader survey of health facilities</v>
      </c>
      <c r="N45" s="166"/>
      <c r="O45" s="166"/>
      <c r="P45" s="166"/>
      <c r="Q45" s="166"/>
      <c r="R45" s="166"/>
      <c r="S45" s="165" t="str">
        <f ca="1">IFERROR(__xludf.DUMMYFUNCTION("""COMPUTED_VALUE"""),"SPHERE standard. Essential medicines include drugs, vaccines and blood products. Should be based on the national essential medicines list. The indicator will need a list of 'essential medicines' for each context. ANY of those being unavailable for a day c"&amp;"ounts as 1 day. Expired medicines should not be counted")</f>
        <v>SPHERE standard. Essential medicines include drugs, vaccines and blood products. Should be based on the national essential medicines list. The indicator will need a list of 'essential medicines' for each context. ANY of those being unavailable for a day counts as 1 day. Expired medicines should not be counted</v>
      </c>
    </row>
    <row r="46" spans="1:19" ht="105" hidden="1" customHeight="1">
      <c r="A46" s="159">
        <f ca="1">IFERROR(__xludf.DUMMYFUNCTION("""COMPUTED_VALUE"""),41)</f>
        <v>41</v>
      </c>
      <c r="B46" s="165" t="str">
        <f ca="1">IFERROR(__xludf.DUMMYFUNCTION("""COMPUTED_VALUE"""),"Health")</f>
        <v>Health</v>
      </c>
      <c r="C46" s="165" t="str">
        <f ca="1">IFERROR(__xludf.DUMMYFUNCTION("""COMPUTED_VALUE"""),"General Health")</f>
        <v>General Health</v>
      </c>
      <c r="D46" s="166" t="str">
        <f ca="1">IFERROR(__xludf.DUMMYFUNCTION("""COMPUTED_VALUE"""),"Impact")</f>
        <v>Impact</v>
      </c>
      <c r="E46" s="166" t="str">
        <f ca="1">IFERROR(__xludf.DUMMYFUNCTION("""COMPUTED_VALUE"""),"Impact on Services")</f>
        <v>Impact on Services</v>
      </c>
      <c r="F46" s="166" t="str">
        <f ca="1">IFERROR(__xludf.DUMMYFUNCTION("""COMPUTED_VALUE"""),"Average population per functioning health facility (HF), by type of HF")</f>
        <v>Average population per functioning health facility (HF), by type of HF</v>
      </c>
      <c r="G46" s="165"/>
      <c r="H46" s="165" t="s">
        <v>1011</v>
      </c>
      <c r="I46" s="165" t="s">
        <v>1011</v>
      </c>
      <c r="J46" s="165" t="s">
        <v>1011</v>
      </c>
      <c r="K46" s="167">
        <f ca="1">IFERROR(__xludf.DUMMYFUNCTION("""COMPUTED_VALUE"""),0)</f>
        <v>0</v>
      </c>
      <c r="L46" s="165"/>
      <c r="M46" s="165" t="str">
        <f ca="1">IFERROR(__xludf.DUMMYFUNCTION("""COMPUTED_VALUE"""),"HeRAMS or similar service
EPI microplanning data from vaccine or NID campaign")</f>
        <v>HeRAMS or similar service
EPI microplanning data from vaccine or NID campaign</v>
      </c>
      <c r="N46" s="166"/>
      <c r="O46" s="166"/>
      <c r="P46" s="166"/>
      <c r="Q46" s="166"/>
      <c r="R46" s="166"/>
      <c r="S46" s="165" t="str">
        <f ca="1">IFERROR(__xludf.DUMMYFUNCTION("""COMPUTED_VALUE"""),"This is a proxy indicator of geographical accessibility and of equity in availability of health facilities across different administrative units within the crisis areas
Please note, this will not adequately measure healthcare coverage in all settings and "&amp;"should be used in conjunction with other indicators.
If an existing current population dataset is available, then HERAMS is preferable for broad statements like national or sub-national (but not community) coverage. When planning at LOCAL levels then othe"&amp;"r methods should be used.
It is important to assess the quality of the data available and make a note of said quality where the indicator is reported.")</f>
        <v>This is a proxy indicator of geographical accessibility and of equity in availability of health facilities across different administrative units within the crisis areas
Please note, this will not adequately measure healthcare coverage in all settings and should be used in conjunction with other indicators.
If an existing current population dataset is available, then HERAMS is preferable for broad statements like national or sub-national (but not community) coverage. When planning at LOCAL levels then other methods should be used.
It is important to assess the quality of the data available and make a note of said quality where the indicator is reported.</v>
      </c>
    </row>
    <row r="47" spans="1:19" ht="105" hidden="1" customHeight="1">
      <c r="A47" s="159">
        <f ca="1">IFERROR(__xludf.DUMMYFUNCTION("""COMPUTED_VALUE"""),42)</f>
        <v>42</v>
      </c>
      <c r="B47" s="165" t="str">
        <f ca="1">IFERROR(__xludf.DUMMYFUNCTION("""COMPUTED_VALUE"""),"Health")</f>
        <v>Health</v>
      </c>
      <c r="C47" s="165" t="str">
        <f ca="1">IFERROR(__xludf.DUMMYFUNCTION("""COMPUTED_VALUE"""),"Sexual Reproductive Health")</f>
        <v>Sexual Reproductive Health</v>
      </c>
      <c r="D47" s="166" t="str">
        <f ca="1">IFERROR(__xludf.DUMMYFUNCTION("""COMPUTED_VALUE"""),"Humanitarian conditions")</f>
        <v>Humanitarian conditions</v>
      </c>
      <c r="E47" s="166" t="str">
        <f ca="1">IFERROR(__xludf.DUMMYFUNCTION("""COMPUTED_VALUE"""),"Living Standards")</f>
        <v>Living Standards</v>
      </c>
      <c r="F47" s="166" t="str">
        <f ca="1">IFERROR(__xludf.DUMMYFUNCTION("""COMPUTED_VALUE"""),"Number of HF with Basic Emergency Obstetric Care/ 500,000 population, by administrative unit")</f>
        <v>Number of HF with Basic Emergency Obstetric Care/ 500,000 population, by administrative unit</v>
      </c>
      <c r="G47" s="165"/>
      <c r="H47" s="165" t="s">
        <v>1138</v>
      </c>
      <c r="I47" s="165" t="s">
        <v>1137</v>
      </c>
      <c r="J47" s="165" t="s">
        <v>1011</v>
      </c>
      <c r="K47" s="165"/>
      <c r="L47" s="165"/>
      <c r="M47" s="165" t="str">
        <f ca="1">IFERROR(__xludf.DUMMYFUNCTION("""COMPUTED_VALUE"""),"HeRAMS / similar service")</f>
        <v>HeRAMS / similar service</v>
      </c>
      <c r="N47" s="166" t="str">
        <f ca="1">IFERROR(__xludf.DUMMYFUNCTION("""COMPUTED_VALUE"""),"4+")</f>
        <v>4+</v>
      </c>
      <c r="O47" s="166" t="str">
        <f ca="1">IFERROR(__xludf.DUMMYFUNCTION("""COMPUTED_VALUE"""),"4+")</f>
        <v>4+</v>
      </c>
      <c r="P47" s="176">
        <f ca="1">IFERROR(__xludf.DUMMYFUNCTION("""COMPUTED_VALUE"""),3)</f>
        <v>3</v>
      </c>
      <c r="Q47" s="176">
        <f ca="1">IFERROR(__xludf.DUMMYFUNCTION("""COMPUTED_VALUE"""),2)</f>
        <v>2</v>
      </c>
      <c r="R47" s="166" t="str">
        <f ca="1">IFERROR(__xludf.DUMMYFUNCTION("""COMPUTED_VALUE"""),"&lt;= 1")</f>
        <v>&lt;= 1</v>
      </c>
      <c r="S47" s="165" t="str">
        <f ca="1">IFERROR(__xludf.DUMMYFUNCTION("""COMPUTED_VALUE"""),"Proxy indicators for the physical availability and geographical accessibility of emergency obstetric services and their distribution across districts in the affected areas. An unbalance between the availability of BEmOC and CEmOC (with too few BEmOC) is o"&amp;"ften observed.
Only the first threshold has been tested and has evidence behind it.  The others have been arbitrarily selected and should not be considered accurate measures at this stage")</f>
        <v>Proxy indicators for the physical availability and geographical accessibility of emergency obstetric services and their distribution across districts in the affected areas. An unbalance between the availability of BEmOC and CEmOC (with too few BEmOC) is often observed.
Only the first threshold has been tested and has evidence behind it.  The others have been arbitrarily selected and should not be considered accurate measures at this stage</v>
      </c>
    </row>
    <row r="48" spans="1:19" ht="105" hidden="1" customHeight="1">
      <c r="A48" s="159">
        <f ca="1">IFERROR(__xludf.DUMMYFUNCTION("""COMPUTED_VALUE"""),43)</f>
        <v>43</v>
      </c>
      <c r="B48" s="165" t="str">
        <f ca="1">IFERROR(__xludf.DUMMYFUNCTION("""COMPUTED_VALUE"""),"Health")</f>
        <v>Health</v>
      </c>
      <c r="C48" s="165" t="str">
        <f ca="1">IFERROR(__xludf.DUMMYFUNCTION("""COMPUTED_VALUE"""),"Sexual Reproductive Health")</f>
        <v>Sexual Reproductive Health</v>
      </c>
      <c r="D48" s="166" t="str">
        <f ca="1">IFERROR(__xludf.DUMMYFUNCTION("""COMPUTED_VALUE"""),"Humanitarian conditions")</f>
        <v>Humanitarian conditions</v>
      </c>
      <c r="E48" s="166" t="str">
        <f ca="1">IFERROR(__xludf.DUMMYFUNCTION("""COMPUTED_VALUE"""),"Living Standards")</f>
        <v>Living Standards</v>
      </c>
      <c r="F48" s="166" t="str">
        <f ca="1">IFERROR(__xludf.DUMMYFUNCTION("""COMPUTED_VALUE"""),"Number of skilled birth attendant personnel (doctors, nurses, certified midwives) per 10,000 people")</f>
        <v>Number of skilled birth attendant personnel (doctors, nurses, certified midwives) per 10,000 people</v>
      </c>
      <c r="G48" s="165"/>
      <c r="H48" s="165" t="s">
        <v>1011</v>
      </c>
      <c r="I48" s="165" t="s">
        <v>1137</v>
      </c>
      <c r="J48" s="165" t="s">
        <v>1011</v>
      </c>
      <c r="K48" s="167">
        <f ca="1">IFERROR(__xludf.DUMMYFUNCTION("""COMPUTED_VALUE"""),1)</f>
        <v>1</v>
      </c>
      <c r="L48" s="165"/>
      <c r="M48" s="165" t="str">
        <f ca="1">IFERROR(__xludf.DUMMYFUNCTION("""COMPUTED_VALUE"""),"HeRAMS")</f>
        <v>HeRAMS</v>
      </c>
      <c r="N48" s="166" t="str">
        <f ca="1">IFERROR(__xludf.DUMMYFUNCTION("""COMPUTED_VALUE"""),"&gt;= 23")</f>
        <v>&gt;= 23</v>
      </c>
      <c r="O48" s="166" t="str">
        <f ca="1">IFERROR(__xludf.DUMMYFUNCTION("""COMPUTED_VALUE"""),"&gt;= 23")</f>
        <v>&gt;= 23</v>
      </c>
      <c r="P48" s="166" t="str">
        <f ca="1">IFERROR(__xludf.DUMMYFUNCTION("""COMPUTED_VALUE"""),"&gt;= 19")</f>
        <v>&gt;= 19</v>
      </c>
      <c r="Q48" s="166" t="str">
        <f ca="1">IFERROR(__xludf.DUMMYFUNCTION("""COMPUTED_VALUE"""),"&gt;= 15")</f>
        <v>&gt;= 15</v>
      </c>
      <c r="R48" s="166" t="str">
        <f ca="1">IFERROR(__xludf.DUMMYFUNCTION("""COMPUTED_VALUE"""),"&gt;= 11")</f>
        <v>&gt;= 11</v>
      </c>
      <c r="S48" s="165" t="str">
        <f ca="1">IFERROR(__xludf.DUMMYFUNCTION("""COMPUTED_VALUE"""),"Only the first threshold has been tested and has evidence behind it.  The others have been arbitrarily selected and should not be considered accurate measures at this stage")</f>
        <v>Only the first threshold has been tested and has evidence behind it.  The others have been arbitrarily selected and should not be considered accurate measures at this stage</v>
      </c>
    </row>
    <row r="49" spans="1:19" ht="105" hidden="1" customHeight="1">
      <c r="A49" s="159">
        <f ca="1">IFERROR(__xludf.DUMMYFUNCTION("""COMPUTED_VALUE"""),44)</f>
        <v>44</v>
      </c>
      <c r="B49" s="165" t="str">
        <f ca="1">IFERROR(__xludf.DUMMYFUNCTION("""COMPUTED_VALUE"""),"Health")</f>
        <v>Health</v>
      </c>
      <c r="C49" s="165" t="str">
        <f ca="1">IFERROR(__xludf.DUMMYFUNCTION("""COMPUTED_VALUE"""),"SSA")</f>
        <v>SSA</v>
      </c>
      <c r="D49" s="166" t="str">
        <f ca="1">IFERROR(__xludf.DUMMYFUNCTION("""COMPUTED_VALUE"""),"Impact")</f>
        <v>Impact</v>
      </c>
      <c r="E49" s="166" t="str">
        <f ca="1">IFERROR(__xludf.DUMMYFUNCTION("""COMPUTED_VALUE"""),"Impact on Services")</f>
        <v>Impact on Services</v>
      </c>
      <c r="F49" s="166" t="str">
        <f ca="1">IFERROR(__xludf.DUMMYFUNCTION("""COMPUTED_VALUE"""),"Percentage of identified SSA incidents verified")</f>
        <v>Percentage of identified SSA incidents verified</v>
      </c>
      <c r="G49" s="165"/>
      <c r="H49" s="165" t="s">
        <v>1011</v>
      </c>
      <c r="I49" s="165" t="s">
        <v>1136</v>
      </c>
      <c r="J49" s="165" t="s">
        <v>1011</v>
      </c>
      <c r="K49" s="167">
        <f ca="1">IFERROR(__xludf.DUMMYFUNCTION("""COMPUTED_VALUE"""),1)</f>
        <v>1</v>
      </c>
      <c r="L49" s="165"/>
      <c r="M49" s="165" t="str">
        <f ca="1">IFERROR(__xludf.DUMMYFUNCTION("""COMPUTED_VALUE""")," SSA")</f>
        <v> SSA</v>
      </c>
      <c r="N49" s="176">
        <f ca="1">IFERROR(__xludf.DUMMYFUNCTION("""COMPUTED_VALUE"""),0)</f>
        <v>0</v>
      </c>
      <c r="O49" s="176">
        <f ca="1">IFERROR(__xludf.DUMMYFUNCTION("""COMPUTED_VALUE"""),0)</f>
        <v>0</v>
      </c>
      <c r="P49" s="176">
        <f ca="1">IFERROR(__xludf.DUMMYFUNCTION("""COMPUTED_VALUE"""),1)</f>
        <v>1</v>
      </c>
      <c r="Q49" s="176">
        <f ca="1">IFERROR(__xludf.DUMMYFUNCTION("""COMPUTED_VALUE"""),1)</f>
        <v>1</v>
      </c>
      <c r="R49" s="166" t="str">
        <f ca="1">IFERROR(__xludf.DUMMYFUNCTION("""COMPUTED_VALUE"""),"1+")</f>
        <v>1+</v>
      </c>
      <c r="S49" s="165" t="str">
        <f ca="1">IFERROR(__xludf.DUMMYFUNCTION("""COMPUTED_VALUE"""),"Indicator adjusted to: total number of confirmed incidents over a set period of time.  As reporting period and area of interest will change, I doubt it makes sense to provide a fixed cut off.")</f>
        <v>Indicator adjusted to: total number of confirmed incidents over a set period of time.  As reporting period and area of interest will change, I doubt it makes sense to provide a fixed cut off.</v>
      </c>
    </row>
    <row r="50" spans="1:19" ht="105" hidden="1" customHeight="1">
      <c r="A50" s="159">
        <f ca="1">IFERROR(__xludf.DUMMYFUNCTION("""COMPUTED_VALUE"""),45)</f>
        <v>45</v>
      </c>
      <c r="B50" s="177" t="str">
        <f ca="1">IFERROR(__xludf.DUMMYFUNCTION("""COMPUTED_VALUE"""),"Nutrition")</f>
        <v>Nutrition</v>
      </c>
      <c r="C50" s="177" t="str">
        <f ca="1">IFERROR(__xludf.DUMMYFUNCTION("""COMPUTED_VALUE"""),"Care and feeding practices")</f>
        <v>Care and feeding practices</v>
      </c>
      <c r="D50" s="178" t="str">
        <f ca="1">IFERROR(__xludf.DUMMYFUNCTION("""COMPUTED_VALUE"""),"Humanitarian conditions")</f>
        <v>Humanitarian conditions</v>
      </c>
      <c r="E50" s="178" t="str">
        <f ca="1">IFERROR(__xludf.DUMMYFUNCTION("""COMPUTED_VALUE"""),"Living Standards")</f>
        <v>Living Standards</v>
      </c>
      <c r="F50" s="178" t="str">
        <f ca="1">IFERROR(__xludf.DUMMYFUNCTION("""COMPUTED_VALUE"""),"Exclusive breastfeeding for infants 0-5 months")</f>
        <v>Exclusive breastfeeding for infants 0-5 months</v>
      </c>
      <c r="G50" s="177"/>
      <c r="H50" s="177" t="s">
        <v>1011</v>
      </c>
      <c r="I50" s="177" t="s">
        <v>1133</v>
      </c>
      <c r="J50" s="177" t="s">
        <v>1011</v>
      </c>
      <c r="K50" s="179">
        <f ca="1">IFERROR(__xludf.DUMMYFUNCTION("""COMPUTED_VALUE"""),2)</f>
        <v>2</v>
      </c>
      <c r="L50" s="177" t="str">
        <f ca="1">IFERROR(__xludf.DUMMYFUNCTION("""COMPUTED_VALUE"""),"HH survey ")</f>
        <v xml:space="preserve">HH survey </v>
      </c>
      <c r="M50" s="177" t="str">
        <f ca="1">IFERROR(__xludf.DUMMYFUNCTION("""COMPUTED_VALUE"""),"SMART surveys")</f>
        <v>SMART surveys</v>
      </c>
      <c r="N50" s="178" t="str">
        <f ca="1">IFERROR(__xludf.DUMMYFUNCTION("""COMPUTED_VALUE"""),"≥70%")</f>
        <v>≥70%</v>
      </c>
      <c r="O50" s="178" t="str">
        <f ca="1">IFERROR(__xludf.DUMMYFUNCTION("""COMPUTED_VALUE"""),"50-70%")</f>
        <v>50-70%</v>
      </c>
      <c r="P50" s="178" t="str">
        <f ca="1">IFERROR(__xludf.DUMMYFUNCTION("""COMPUTED_VALUE"""),"30 -50%")</f>
        <v>30 -50%</v>
      </c>
      <c r="Q50" s="178" t="str">
        <f ca="1">IFERROR(__xludf.DUMMYFUNCTION("""COMPUTED_VALUE"""),"11-30%")</f>
        <v>11-30%</v>
      </c>
      <c r="R50" s="178" t="str">
        <f ca="1">IFERROR(__xludf.DUMMYFUNCTION("""COMPUTED_VALUE"""),"&lt;11%")</f>
        <v>&lt;11%</v>
      </c>
      <c r="S50" s="177"/>
    </row>
    <row r="51" spans="1:19" ht="105" hidden="1" customHeight="1">
      <c r="A51" s="159">
        <f ca="1">IFERROR(__xludf.DUMMYFUNCTION("""COMPUTED_VALUE"""),46)</f>
        <v>46</v>
      </c>
      <c r="B51" s="177" t="str">
        <f ca="1">IFERROR(__xludf.DUMMYFUNCTION("""COMPUTED_VALUE"""),"Nutrition")</f>
        <v>Nutrition</v>
      </c>
      <c r="C51" s="177" t="str">
        <f ca="1">IFERROR(__xludf.DUMMYFUNCTION("""COMPUTED_VALUE"""),"Care and feeding practices")</f>
        <v>Care and feeding practices</v>
      </c>
      <c r="D51" s="178" t="str">
        <f ca="1">IFERROR(__xludf.DUMMYFUNCTION("""COMPUTED_VALUE"""),"Humanitarian conditions")</f>
        <v>Humanitarian conditions</v>
      </c>
      <c r="E51" s="178" t="str">
        <f ca="1">IFERROR(__xludf.DUMMYFUNCTION("""COMPUTED_VALUE"""),"Living Standards")</f>
        <v>Living Standards</v>
      </c>
      <c r="F51" s="178" t="str">
        <f ca="1">IFERROR(__xludf.DUMMYFUNCTION("""COMPUTED_VALUE"""),"Infants 0-5 months that are not breastfed who have access to Breast Milk Substitutes (BMS) supplies and support in line with the Code and the IFE OG standards and recommendations")</f>
        <v>Infants 0-5 months that are not breastfed who have access to Breast Milk Substitutes (BMS) supplies and support in line with the Code and the IFE OG standards and recommendations</v>
      </c>
      <c r="G51" s="177"/>
      <c r="H51" s="177" t="s">
        <v>1011</v>
      </c>
      <c r="I51" s="177" t="s">
        <v>1011</v>
      </c>
      <c r="J51" s="177" t="s">
        <v>1011</v>
      </c>
      <c r="K51" s="179">
        <f ca="1">IFERROR(__xludf.DUMMYFUNCTION("""COMPUTED_VALUE"""),2)</f>
        <v>2</v>
      </c>
      <c r="L51" s="177" t="str">
        <f ca="1">IFERROR(__xludf.DUMMYFUNCTION("""COMPUTED_VALUE"""),"HH survey ")</f>
        <v xml:space="preserve">HH survey </v>
      </c>
      <c r="M51" s="177" t="str">
        <f ca="1">IFERROR(__xludf.DUMMYFUNCTION("""COMPUTED_VALUE"""),"SMART surveys")</f>
        <v>SMART surveys</v>
      </c>
      <c r="N51" s="178" t="str">
        <f ca="1">IFERROR(__xludf.DUMMYFUNCTION("""COMPUTED_VALUE"""),"≥60%")</f>
        <v>≥60%</v>
      </c>
      <c r="O51" s="178" t="str">
        <f ca="1">IFERROR(__xludf.DUMMYFUNCTION("""COMPUTED_VALUE"""),"40-60%")</f>
        <v>40-60%</v>
      </c>
      <c r="P51" s="178" t="str">
        <f ca="1">IFERROR(__xludf.DUMMYFUNCTION("""COMPUTED_VALUE"""),"20-40%")</f>
        <v>20-40%</v>
      </c>
      <c r="Q51" s="178" t="str">
        <f ca="1">IFERROR(__xludf.DUMMYFUNCTION("""COMPUTED_VALUE"""),"10-20%")</f>
        <v>10-20%</v>
      </c>
      <c r="R51" s="178" t="str">
        <f ca="1">IFERROR(__xludf.DUMMYFUNCTION("""COMPUTED_VALUE"""),"&lt;10%")</f>
        <v>&lt;10%</v>
      </c>
      <c r="S51" s="177"/>
    </row>
    <row r="52" spans="1:19" ht="105" hidden="1" customHeight="1">
      <c r="A52" s="159">
        <f ca="1">IFERROR(__xludf.DUMMYFUNCTION("""COMPUTED_VALUE"""),47)</f>
        <v>47</v>
      </c>
      <c r="B52" s="177" t="str">
        <f ca="1">IFERROR(__xludf.DUMMYFUNCTION("""COMPUTED_VALUE"""),"Nutrition")</f>
        <v>Nutrition</v>
      </c>
      <c r="C52" s="177" t="str">
        <f ca="1">IFERROR(__xludf.DUMMYFUNCTION("""COMPUTED_VALUE"""),"Care and feeding practices")</f>
        <v>Care and feeding practices</v>
      </c>
      <c r="D52" s="178" t="str">
        <f ca="1">IFERROR(__xludf.DUMMYFUNCTION("""COMPUTED_VALUE"""),"Humanitarian conditions")</f>
        <v>Humanitarian conditions</v>
      </c>
      <c r="E52" s="178" t="str">
        <f ca="1">IFERROR(__xludf.DUMMYFUNCTION("""COMPUTED_VALUE"""),"Living Standards")</f>
        <v>Living Standards</v>
      </c>
      <c r="F52" s="178" t="str">
        <f ca="1">IFERROR(__xludf.DUMMYFUNCTION("""COMPUTED_VALUE"""),"Infants 6-11 months that are not breastfed who have access to Breast Milk Substitutes (BMS) supplies and support in line with the Code and the IFE OG standards and recommendations")</f>
        <v>Infants 6-11 months that are not breastfed who have access to Breast Milk Substitutes (BMS) supplies and support in line with the Code and the IFE OG standards and recommendations</v>
      </c>
      <c r="G52" s="177"/>
      <c r="H52" s="177" t="s">
        <v>1011</v>
      </c>
      <c r="I52" s="177" t="s">
        <v>1011</v>
      </c>
      <c r="J52" s="177" t="s">
        <v>1011</v>
      </c>
      <c r="K52" s="179">
        <f ca="1">IFERROR(__xludf.DUMMYFUNCTION("""COMPUTED_VALUE"""),3)</f>
        <v>3</v>
      </c>
      <c r="L52" s="177" t="str">
        <f ca="1">IFERROR(__xludf.DUMMYFUNCTION("""COMPUTED_VALUE"""),"HH survey ")</f>
        <v xml:space="preserve">HH survey </v>
      </c>
      <c r="M52" s="177" t="str">
        <f ca="1">IFERROR(__xludf.DUMMYFUNCTION("""COMPUTED_VALUE"""),"SMART surveys")</f>
        <v>SMART surveys</v>
      </c>
      <c r="N52" s="178" t="str">
        <f ca="1">IFERROR(__xludf.DUMMYFUNCTION("""COMPUTED_VALUE"""),"≥60%")</f>
        <v>≥60%</v>
      </c>
      <c r="O52" s="178" t="str">
        <f ca="1">IFERROR(__xludf.DUMMYFUNCTION("""COMPUTED_VALUE"""),"40-60%")</f>
        <v>40-60%</v>
      </c>
      <c r="P52" s="178" t="str">
        <f ca="1">IFERROR(__xludf.DUMMYFUNCTION("""COMPUTED_VALUE"""),"20-40%")</f>
        <v>20-40%</v>
      </c>
      <c r="Q52" s="178" t="str">
        <f ca="1">IFERROR(__xludf.DUMMYFUNCTION("""COMPUTED_VALUE"""),"10-20%")</f>
        <v>10-20%</v>
      </c>
      <c r="R52" s="178" t="str">
        <f ca="1">IFERROR(__xludf.DUMMYFUNCTION("""COMPUTED_VALUE"""),"&lt;10%")</f>
        <v>&lt;10%</v>
      </c>
      <c r="S52" s="177"/>
    </row>
    <row r="53" spans="1:19" ht="105" hidden="1" customHeight="1">
      <c r="A53" s="159">
        <f ca="1">IFERROR(__xludf.DUMMYFUNCTION("""COMPUTED_VALUE"""),48)</f>
        <v>48</v>
      </c>
      <c r="B53" s="177" t="str">
        <f ca="1">IFERROR(__xludf.DUMMYFUNCTION("""COMPUTED_VALUE"""),"Nutrition")</f>
        <v>Nutrition</v>
      </c>
      <c r="C53" s="177" t="str">
        <f ca="1">IFERROR(__xludf.DUMMYFUNCTION("""COMPUTED_VALUE"""),"Food consumption")</f>
        <v>Food consumption</v>
      </c>
      <c r="D53" s="178" t="str">
        <f ca="1">IFERROR(__xludf.DUMMYFUNCTION("""COMPUTED_VALUE"""),"Humanitarian conditions")</f>
        <v>Humanitarian conditions</v>
      </c>
      <c r="E53" s="178" t="str">
        <f ca="1">IFERROR(__xludf.DUMMYFUNCTION("""COMPUTED_VALUE"""),"Living Standards")</f>
        <v>Living Standards</v>
      </c>
      <c r="F53" s="178" t="str">
        <f ca="1">IFERROR(__xludf.DUMMYFUNCTION("""COMPUTED_VALUE"""),"Minimum Acceptable Diet in children 6 to 23 months")</f>
        <v>Minimum Acceptable Diet in children 6 to 23 months</v>
      </c>
      <c r="G53" s="177"/>
      <c r="H53" s="177" t="s">
        <v>1011</v>
      </c>
      <c r="I53" s="177" t="s">
        <v>1011</v>
      </c>
      <c r="J53" s="177" t="s">
        <v>1011</v>
      </c>
      <c r="K53" s="179">
        <f ca="1">IFERROR(__xludf.DUMMYFUNCTION("""COMPUTED_VALUE"""),1)</f>
        <v>1</v>
      </c>
      <c r="L53" s="177" t="str">
        <f ca="1">IFERROR(__xludf.DUMMYFUNCTION("""COMPUTED_VALUE"""),"HH survey ")</f>
        <v xml:space="preserve">HH survey </v>
      </c>
      <c r="M53" s="177" t="str">
        <f ca="1">IFERROR(__xludf.DUMMYFUNCTION("""COMPUTED_VALUE"""),"SMART surveys")</f>
        <v>SMART surveys</v>
      </c>
      <c r="N53" s="178" t="str">
        <f ca="1">IFERROR(__xludf.DUMMYFUNCTION("""COMPUTED_VALUE"""),"≥70%")</f>
        <v>≥70%</v>
      </c>
      <c r="O53" s="178" t="str">
        <f ca="1">IFERROR(__xludf.DUMMYFUNCTION("""COMPUTED_VALUE"""),"40-70%")</f>
        <v>40-70%</v>
      </c>
      <c r="P53" s="178" t="str">
        <f ca="1">IFERROR(__xludf.DUMMYFUNCTION("""COMPUTED_VALUE"""),"20-40%")</f>
        <v>20-40%</v>
      </c>
      <c r="Q53" s="178" t="str">
        <f ca="1">IFERROR(__xludf.DUMMYFUNCTION("""COMPUTED_VALUE"""),"10-20%")</f>
        <v>10-20%</v>
      </c>
      <c r="R53" s="178" t="str">
        <f ca="1">IFERROR(__xludf.DUMMYFUNCTION("""COMPUTED_VALUE"""),"&lt;10%")</f>
        <v>&lt;10%</v>
      </c>
      <c r="S53" s="177"/>
    </row>
    <row r="54" spans="1:19" ht="105" hidden="1" customHeight="1">
      <c r="A54" s="159">
        <f ca="1">IFERROR(__xludf.DUMMYFUNCTION("""COMPUTED_VALUE"""),49)</f>
        <v>49</v>
      </c>
      <c r="B54" s="177" t="str">
        <f ca="1">IFERROR(__xludf.DUMMYFUNCTION("""COMPUTED_VALUE"""),"Nutrition")</f>
        <v>Nutrition</v>
      </c>
      <c r="C54" s="177" t="str">
        <f ca="1">IFERROR(__xludf.DUMMYFUNCTION("""COMPUTED_VALUE"""),"Food consumption")</f>
        <v>Food consumption</v>
      </c>
      <c r="D54" s="178" t="str">
        <f ca="1">IFERROR(__xludf.DUMMYFUNCTION("""COMPUTED_VALUE"""),"Humanitarian conditions")</f>
        <v>Humanitarian conditions</v>
      </c>
      <c r="E54" s="178" t="str">
        <f ca="1">IFERROR(__xludf.DUMMYFUNCTION("""COMPUTED_VALUE"""),"Living Standards")</f>
        <v>Living Standards</v>
      </c>
      <c r="F54" s="178" t="str">
        <f ca="1">IFERROR(__xludf.DUMMYFUNCTION("""COMPUTED_VALUE"""),"Minimum Dietary Diversity in children 6 to 23 months")</f>
        <v>Minimum Dietary Diversity in children 6 to 23 months</v>
      </c>
      <c r="G54" s="177"/>
      <c r="H54" s="177" t="s">
        <v>1011</v>
      </c>
      <c r="I54" s="177" t="s">
        <v>1011</v>
      </c>
      <c r="J54" s="177" t="s">
        <v>1011</v>
      </c>
      <c r="K54" s="179">
        <f ca="1">IFERROR(__xludf.DUMMYFUNCTION("""COMPUTED_VALUE"""),1)</f>
        <v>1</v>
      </c>
      <c r="L54" s="177" t="str">
        <f ca="1">IFERROR(__xludf.DUMMYFUNCTION("""COMPUTED_VALUE"""),"HH survey ")</f>
        <v xml:space="preserve">HH survey </v>
      </c>
      <c r="M54" s="177" t="str">
        <f ca="1">IFERROR(__xludf.DUMMYFUNCTION("""COMPUTED_VALUE"""),"SMART surveys")</f>
        <v>SMART surveys</v>
      </c>
      <c r="N54" s="178" t="str">
        <f ca="1">IFERROR(__xludf.DUMMYFUNCTION("""COMPUTED_VALUE"""),"≥70%")</f>
        <v>≥70%</v>
      </c>
      <c r="O54" s="178" t="str">
        <f ca="1">IFERROR(__xludf.DUMMYFUNCTION("""COMPUTED_VALUE"""),"40-70%")</f>
        <v>40-70%</v>
      </c>
      <c r="P54" s="178" t="str">
        <f ca="1">IFERROR(__xludf.DUMMYFUNCTION("""COMPUTED_VALUE"""),"20-40%")</f>
        <v>20-40%</v>
      </c>
      <c r="Q54" s="178" t="str">
        <f ca="1">IFERROR(__xludf.DUMMYFUNCTION("""COMPUTED_VALUE"""),"10-20%")</f>
        <v>10-20%</v>
      </c>
      <c r="R54" s="178" t="str">
        <f ca="1">IFERROR(__xludf.DUMMYFUNCTION("""COMPUTED_VALUE"""),"&lt;10%")</f>
        <v>&lt;10%</v>
      </c>
      <c r="S54" s="177"/>
    </row>
    <row r="55" spans="1:19" ht="105" hidden="1" customHeight="1">
      <c r="A55" s="159">
        <f ca="1">IFERROR(__xludf.DUMMYFUNCTION("""COMPUTED_VALUE"""),50)</f>
        <v>50</v>
      </c>
      <c r="B55" s="177" t="str">
        <f ca="1">IFERROR(__xludf.DUMMYFUNCTION("""COMPUTED_VALUE"""),"Nutrition")</f>
        <v>Nutrition</v>
      </c>
      <c r="C55" s="177" t="str">
        <f ca="1">IFERROR(__xludf.DUMMYFUNCTION("""COMPUTED_VALUE"""),"GAM")</f>
        <v>GAM</v>
      </c>
      <c r="D55" s="178" t="str">
        <f ca="1">IFERROR(__xludf.DUMMYFUNCTION("""COMPUTED_VALUE"""),"Humanitarian conditions")</f>
        <v>Humanitarian conditions</v>
      </c>
      <c r="E55" s="178" t="str">
        <f ca="1">IFERROR(__xludf.DUMMYFUNCTION("""COMPUTED_VALUE"""),"Physical and Mental Wellbeing")</f>
        <v>Physical and Mental Wellbeing</v>
      </c>
      <c r="F55" s="178" t="str">
        <f ca="1">IFERROR(__xludf.DUMMYFUNCTION("""COMPUTED_VALUE"""),"Prevalence of Global Acute Malnutrition (GAM) based on BMI-for-Age Z-Score&lt;-2 among Adolescents")</f>
        <v>Prevalence of Global Acute Malnutrition (GAM) based on BMI-for-Age Z-Score&lt;-2 among Adolescents</v>
      </c>
      <c r="G55" s="177"/>
      <c r="H55" s="177" t="s">
        <v>1011</v>
      </c>
      <c r="I55" s="177" t="s">
        <v>1133</v>
      </c>
      <c r="J55" s="177" t="s">
        <v>1011</v>
      </c>
      <c r="K55" s="179">
        <f ca="1">IFERROR(__xludf.DUMMYFUNCTION("""COMPUTED_VALUE"""),3)</f>
        <v>3</v>
      </c>
      <c r="L55" s="177" t="str">
        <f ca="1">IFERROR(__xludf.DUMMYFUNCTION("""COMPUTED_VALUE"""),"HH survey ")</f>
        <v xml:space="preserve">HH survey </v>
      </c>
      <c r="M55" s="177" t="str">
        <f ca="1">IFERROR(__xludf.DUMMYFUNCTION("""COMPUTED_VALUE"""),"SMART surveys")</f>
        <v>SMART surveys</v>
      </c>
      <c r="N55" s="178" t="str">
        <f ca="1">IFERROR(__xludf.DUMMYFUNCTION("""COMPUTED_VALUE"""),"&lt;2.5%")</f>
        <v>&lt;2.5%</v>
      </c>
      <c r="O55" s="178" t="str">
        <f ca="1">IFERROR(__xludf.DUMMYFUNCTION("""COMPUTED_VALUE"""),"2.5-4.9%")</f>
        <v>2.5-4.9%</v>
      </c>
      <c r="P55" s="178" t="str">
        <f ca="1">IFERROR(__xludf.DUMMYFUNCTION("""COMPUTED_VALUE"""),"5-9.9%")</f>
        <v>5-9.9%</v>
      </c>
      <c r="Q55" s="178" t="str">
        <f ca="1">IFERROR(__xludf.DUMMYFUNCTION("""COMPUTED_VALUE"""),"10-14.9%")</f>
        <v>10-14.9%</v>
      </c>
      <c r="R55" s="178" t="str">
        <f ca="1">IFERROR(__xludf.DUMMYFUNCTION("""COMPUTED_VALUE"""),"≥15%")</f>
        <v>≥15%</v>
      </c>
      <c r="S55" s="177"/>
    </row>
    <row r="56" spans="1:19" ht="105" hidden="1" customHeight="1">
      <c r="A56" s="159">
        <f ca="1">IFERROR(__xludf.DUMMYFUNCTION("""COMPUTED_VALUE"""),51)</f>
        <v>51</v>
      </c>
      <c r="B56" s="177" t="str">
        <f ca="1">IFERROR(__xludf.DUMMYFUNCTION("""COMPUTED_VALUE"""),"Nutrition")</f>
        <v>Nutrition</v>
      </c>
      <c r="C56" s="177" t="str">
        <f ca="1">IFERROR(__xludf.DUMMYFUNCTION("""COMPUTED_VALUE"""),"GAM")</f>
        <v>GAM</v>
      </c>
      <c r="D56" s="177" t="str">
        <f ca="1">IFERROR(__xludf.DUMMYFUNCTION("""COMPUTED_VALUE"""),"Humanitarian conditions")</f>
        <v>Humanitarian conditions</v>
      </c>
      <c r="E56" s="177" t="str">
        <f ca="1">IFERROR(__xludf.DUMMYFUNCTION("""COMPUTED_VALUE"""),"Physical and Mental Wellbeing")</f>
        <v>Physical and Mental Wellbeing</v>
      </c>
      <c r="F56" s="177" t="str">
        <f ca="1">IFERROR(__xludf.DUMMYFUNCTION("""COMPUTED_VALUE"""),"Prevalence of Global Acute Malnutrition (GAM) based on Mid-Upper Arm Circumference (MUAC) &lt;125mm and/or bilateral oedema among children 6-59 months")</f>
        <v>Prevalence of Global Acute Malnutrition (GAM) based on Mid-Upper Arm Circumference (MUAC) &lt;125mm and/or bilateral oedema among children 6-59 months</v>
      </c>
      <c r="G56" s="177"/>
      <c r="H56" s="177" t="s">
        <v>1011</v>
      </c>
      <c r="I56" s="177" t="s">
        <v>1133</v>
      </c>
      <c r="J56" s="177" t="s">
        <v>1011</v>
      </c>
      <c r="K56" s="177" t="str">
        <f ca="1">IFERROR(__xludf.DUMMYFUNCTION("""COMPUTED_VALUE"""),"1 - only if GAM based on WHZ is not available (line 48)")</f>
        <v>1 - only if GAM based on WHZ is not available (line 48)</v>
      </c>
      <c r="L56" s="177" t="str">
        <f ca="1">IFERROR(__xludf.DUMMYFUNCTION("""COMPUTED_VALUE"""),"HH survey ")</f>
        <v xml:space="preserve">HH survey </v>
      </c>
      <c r="M56" s="177" t="str">
        <f ca="1">IFERROR(__xludf.DUMMYFUNCTION("""COMPUTED_VALUE"""),"SMART surveys")</f>
        <v>SMART surveys</v>
      </c>
      <c r="N56" s="178" t="str">
        <f ca="1">IFERROR(__xludf.DUMMYFUNCTION("""COMPUTED_VALUE"""),"MUAC &lt;5%: Phase 1-2; ")</f>
        <v xml:space="preserve">MUAC &lt;5%: Phase 1-2; </v>
      </c>
      <c r="O56" s="178" t="str">
        <f ca="1">IFERROR(__xludf.DUMMYFUNCTION("""COMPUTED_VALUE"""),"MUAC 5-9.9%: Phase 2-3; ")</f>
        <v xml:space="preserve">MUAC 5-9.9%: Phase 2-3; </v>
      </c>
      <c r="P56" s="178" t="str">
        <f ca="1">IFERROR(__xludf.DUMMYFUNCTION("""COMPUTED_VALUE"""),"MUAC 10-14.9: Phase 3-4; ")</f>
        <v xml:space="preserve">MUAC 10-14.9: Phase 3-4; </v>
      </c>
      <c r="Q56" s="178" t="str">
        <f ca="1">IFERROR(__xludf.DUMMYFUNCTION("""COMPUTED_VALUE"""),"MUAC &gt;=15%: Phase 4-5")</f>
        <v>MUAC &gt;=15%: Phase 4-5</v>
      </c>
      <c r="R56" s="178"/>
      <c r="S56" s="177" t="str">
        <f ca="1">IFERROR(__xludf.DUMMYFUNCTION("""COMPUTED_VALUE"""),"To only use GAm based on MUAC if GAM based on WHZ is not available. Thresholds are based on IPC Acute Malnutrition and cut across multiple phases. Not sure how to present this here. ")</f>
        <v xml:space="preserve">To only use GAm based on MUAC if GAM based on WHZ is not available. Thresholds are based on IPC Acute Malnutrition and cut across multiple phases. Not sure how to present this here. </v>
      </c>
    </row>
    <row r="57" spans="1:19" ht="105" hidden="1" customHeight="1">
      <c r="A57" s="159">
        <f ca="1">IFERROR(__xludf.DUMMYFUNCTION("""COMPUTED_VALUE"""),52)</f>
        <v>52</v>
      </c>
      <c r="B57" s="177" t="str">
        <f ca="1">IFERROR(__xludf.DUMMYFUNCTION("""COMPUTED_VALUE"""),"Nutrition")</f>
        <v>Nutrition</v>
      </c>
      <c r="C57" s="177" t="str">
        <f ca="1">IFERROR(__xludf.DUMMYFUNCTION("""COMPUTED_VALUE"""),"GAM")</f>
        <v>GAM</v>
      </c>
      <c r="D57" s="177" t="str">
        <f ca="1">IFERROR(__xludf.DUMMYFUNCTION("""COMPUTED_VALUE"""),"Humanitarian conditions")</f>
        <v>Humanitarian conditions</v>
      </c>
      <c r="E57" s="177" t="str">
        <f ca="1">IFERROR(__xludf.DUMMYFUNCTION("""COMPUTED_VALUE"""),"Physical and Mental Wellbeing")</f>
        <v>Physical and Mental Wellbeing</v>
      </c>
      <c r="F57" s="177" t="str">
        <f ca="1">IFERROR(__xludf.DUMMYFUNCTION("""COMPUTED_VALUE"""),"Prevalence of Global Acute Malnutrition (GAM) based on Mid-Upper Arm Circumference (MUAC)&lt;210-230 (depending on the contexts) and/or bilateral oedema among Pregnant and Lactating Women (PLW)")</f>
        <v>Prevalence of Global Acute Malnutrition (GAM) based on Mid-Upper Arm Circumference (MUAC)&lt;210-230 (depending on the contexts) and/or bilateral oedema among Pregnant and Lactating Women (PLW)</v>
      </c>
      <c r="G57" s="177"/>
      <c r="H57" s="177" t="s">
        <v>1011</v>
      </c>
      <c r="I57" s="177" t="s">
        <v>1133</v>
      </c>
      <c r="J57" s="177" t="s">
        <v>1011</v>
      </c>
      <c r="K57" s="177" t="str">
        <f ca="1">IFERROR(__xludf.DUMMYFUNCTION("""COMPUTED_VALUE"""),"2 (if the above two indicators are not available in line 52 and 48)")</f>
        <v>2 (if the above two indicators are not available in line 52 and 48)</v>
      </c>
      <c r="L57" s="177" t="str">
        <f ca="1">IFERROR(__xludf.DUMMYFUNCTION("""COMPUTED_VALUE"""),"HH survey ")</f>
        <v xml:space="preserve">HH survey </v>
      </c>
      <c r="M57" s="177" t="str">
        <f ca="1">IFERROR(__xludf.DUMMYFUNCTION("""COMPUTED_VALUE"""),"SMART surveys")</f>
        <v>SMART surveys</v>
      </c>
      <c r="N57" s="178" t="str">
        <f ca="1">IFERROR(__xludf.DUMMYFUNCTION("""COMPUTED_VALUE"""),"&lt;=12.5%")</f>
        <v>&lt;=12.5%</v>
      </c>
      <c r="O57" s="178" t="str">
        <f ca="1">IFERROR(__xludf.DUMMYFUNCTION("""COMPUTED_VALUE"""),"12.6%-19.9%")</f>
        <v>12.6%-19.9%</v>
      </c>
      <c r="P57" s="178" t="str">
        <f ca="1">IFERROR(__xludf.DUMMYFUNCTION("""COMPUTED_VALUE"""),"20-24.9%")</f>
        <v>20-24.9%</v>
      </c>
      <c r="Q57" s="178" t="str">
        <f ca="1">IFERROR(__xludf.DUMMYFUNCTION("""COMPUTED_VALUE"""),"25-34.9%")</f>
        <v>25-34.9%</v>
      </c>
      <c r="R57" s="178" t="str">
        <f ca="1">IFERROR(__xludf.DUMMYFUNCTION("""COMPUTED_VALUE"""),"≥35%")</f>
        <v>≥35%</v>
      </c>
      <c r="S57" s="177" t="str">
        <f ca="1">IFERROR(__xludf.DUMMYFUNCTION("""COMPUTED_VALUE"""),"Preliminary thresholds based on Somalia’s Food Security and Nutrition Analysis Unit (FSNAU)")</f>
        <v>Preliminary thresholds based on Somalia’s Food Security and Nutrition Analysis Unit (FSNAU)</v>
      </c>
    </row>
    <row r="58" spans="1:19" ht="105" hidden="1" customHeight="1">
      <c r="A58" s="159">
        <f ca="1">IFERROR(__xludf.DUMMYFUNCTION("""COMPUTED_VALUE"""),53)</f>
        <v>53</v>
      </c>
      <c r="B58" s="177" t="str">
        <f ca="1">IFERROR(__xludf.DUMMYFUNCTION("""COMPUTED_VALUE"""),"Nutrition")</f>
        <v>Nutrition</v>
      </c>
      <c r="C58" s="177" t="str">
        <f ca="1">IFERROR(__xludf.DUMMYFUNCTION("""COMPUTED_VALUE"""),"GAM")</f>
        <v>GAM</v>
      </c>
      <c r="D58" s="177" t="str">
        <f ca="1">IFERROR(__xludf.DUMMYFUNCTION("""COMPUTED_VALUE"""),"Humanitarian conditions")</f>
        <v>Humanitarian conditions</v>
      </c>
      <c r="E58" s="177" t="str">
        <f ca="1">IFERROR(__xludf.DUMMYFUNCTION("""COMPUTED_VALUE"""),"Physical and Mental Wellbeing")</f>
        <v>Physical and Mental Wellbeing</v>
      </c>
      <c r="F58" s="177" t="str">
        <f ca="1">IFERROR(__xludf.DUMMYFUNCTION("""COMPUTED_VALUE"""),"Prevalence of Global Acute Malnutrition (GAM) based on Mid-Upper Arm Circumference (MUAC)&lt;210mm among Older People")</f>
        <v>Prevalence of Global Acute Malnutrition (GAM) based on Mid-Upper Arm Circumference (MUAC)&lt;210mm among Older People</v>
      </c>
      <c r="G58" s="177"/>
      <c r="H58" s="177" t="s">
        <v>1011</v>
      </c>
      <c r="I58" s="177" t="s">
        <v>1011</v>
      </c>
      <c r="J58" s="177" t="s">
        <v>1011</v>
      </c>
      <c r="K58" s="179">
        <f ca="1">IFERROR(__xludf.DUMMYFUNCTION("""COMPUTED_VALUE"""),3)</f>
        <v>3</v>
      </c>
      <c r="L58" s="177" t="str">
        <f ca="1">IFERROR(__xludf.DUMMYFUNCTION("""COMPUTED_VALUE"""),"HH survey ")</f>
        <v xml:space="preserve">HH survey </v>
      </c>
      <c r="M58" s="177" t="str">
        <f ca="1">IFERROR(__xludf.DUMMYFUNCTION("""COMPUTED_VALUE"""),"SMART surveys")</f>
        <v>SMART surveys</v>
      </c>
      <c r="N58" s="178" t="str">
        <f ca="1">IFERROR(__xludf.DUMMYFUNCTION("""COMPUTED_VALUE"""),"&lt;5%")</f>
        <v>&lt;5%</v>
      </c>
      <c r="O58" s="178" t="str">
        <f ca="1">IFERROR(__xludf.DUMMYFUNCTION("""COMPUTED_VALUE"""),"5-9.9%")</f>
        <v>5-9.9%</v>
      </c>
      <c r="P58" s="178" t="str">
        <f ca="1">IFERROR(__xludf.DUMMYFUNCTION("""COMPUTED_VALUE"""),"10-14.9% OR
 5-9.9%*")</f>
        <v>10-14.9% OR
 5-9.9%*</v>
      </c>
      <c r="Q58" s="178" t="str">
        <f ca="1">IFERROR(__xludf.DUMMYFUNCTION("""COMPUTED_VALUE"""),"≥15% OR
 10-14.9%*")</f>
        <v>≥15% OR
 10-14.9%*</v>
      </c>
      <c r="R58" s="178"/>
      <c r="S58" s="177" t="str">
        <f ca="1">IFERROR(__xludf.DUMMYFUNCTION("""COMPUTED_VALUE"""),"*If presence of aggravating factors which include: a general food ration below 2,100kcal per person per day; a disease outbreak (i.e cholera or malaria); inadequate safe water supplies and sanitation; inadequate shelter; war and conflict, civil strife, mi"&amp;"gration and displacement. ")</f>
        <v xml:space="preserve">*If presence of aggravating factors which include: a general food ration below 2,100kcal per person per day; a disease outbreak (i.e cholera or malaria); inadequate safe water supplies and sanitation; inadequate shelter; war and conflict, civil strife, migration and displacement. </v>
      </c>
    </row>
    <row r="59" spans="1:19" ht="105" hidden="1" customHeight="1">
      <c r="A59" s="159">
        <f ca="1">IFERROR(__xludf.DUMMYFUNCTION("""COMPUTED_VALUE"""),54)</f>
        <v>54</v>
      </c>
      <c r="B59" s="177" t="str">
        <f ca="1">IFERROR(__xludf.DUMMYFUNCTION("""COMPUTED_VALUE"""),"Nutrition")</f>
        <v>Nutrition</v>
      </c>
      <c r="C59" s="177" t="str">
        <f ca="1">IFERROR(__xludf.DUMMYFUNCTION("""COMPUTED_VALUE"""),"GAM")</f>
        <v>GAM</v>
      </c>
      <c r="D59" s="178" t="str">
        <f ca="1">IFERROR(__xludf.DUMMYFUNCTION("""COMPUTED_VALUE"""),"Humanitarian conditions")</f>
        <v>Humanitarian conditions</v>
      </c>
      <c r="E59" s="178" t="str">
        <f ca="1">IFERROR(__xludf.DUMMYFUNCTION("""COMPUTED_VALUE"""),"Physical and Mental Wellbeing")</f>
        <v>Physical and Mental Wellbeing</v>
      </c>
      <c r="F59" s="178" t="str">
        <f ca="1">IFERROR(__xludf.DUMMYFUNCTION("""COMPUTED_VALUE"""),"Prevalence of Global Acute Malnutrition (GAM) based on weight for height Z-score (WHZ)&lt;-2 and/or bilateral oedema among children 0-59 months")</f>
        <v>Prevalence of Global Acute Malnutrition (GAM) based on weight for height Z-score (WHZ)&lt;-2 and/or bilateral oedema among children 0-59 months</v>
      </c>
      <c r="G59" s="177"/>
      <c r="H59" s="177" t="s">
        <v>1011</v>
      </c>
      <c r="I59" s="177" t="s">
        <v>1133</v>
      </c>
      <c r="J59" s="177" t="s">
        <v>1011</v>
      </c>
      <c r="K59" s="179">
        <f ca="1">IFERROR(__xludf.DUMMYFUNCTION("""COMPUTED_VALUE"""),1)</f>
        <v>1</v>
      </c>
      <c r="L59" s="177" t="str">
        <f ca="1">IFERROR(__xludf.DUMMYFUNCTION("""COMPUTED_VALUE"""),"HH survey ")</f>
        <v xml:space="preserve">HH survey </v>
      </c>
      <c r="M59" s="177" t="str">
        <f ca="1">IFERROR(__xludf.DUMMYFUNCTION("""COMPUTED_VALUE"""),"SMART surveys")</f>
        <v>SMART surveys</v>
      </c>
      <c r="N59" s="178" t="str">
        <f ca="1">IFERROR(__xludf.DUMMYFUNCTION("""COMPUTED_VALUE"""),"&lt;5%")</f>
        <v>&lt;5%</v>
      </c>
      <c r="O59" s="178" t="str">
        <f ca="1">IFERROR(__xludf.DUMMYFUNCTION("""COMPUTED_VALUE"""),"5-9.9%")</f>
        <v>5-9.9%</v>
      </c>
      <c r="P59" s="178" t="str">
        <f ca="1">IFERROR(__xludf.DUMMYFUNCTION("""COMPUTED_VALUE"""),"10-14.9%")</f>
        <v>10-14.9%</v>
      </c>
      <c r="Q59" s="178" t="str">
        <f ca="1">IFERROR(__xludf.DUMMYFUNCTION("""COMPUTED_VALUE"""),"15-29.9%")</f>
        <v>15-29.9%</v>
      </c>
      <c r="R59" s="178" t="str">
        <f ca="1">IFERROR(__xludf.DUMMYFUNCTION("""COMPUTED_VALUE"""),"≥30%")</f>
        <v>≥30%</v>
      </c>
      <c r="S59" s="177"/>
    </row>
    <row r="60" spans="1:19" ht="105" hidden="1" customHeight="1">
      <c r="A60" s="159">
        <f ca="1">IFERROR(__xludf.DUMMYFUNCTION("""COMPUTED_VALUE"""),55)</f>
        <v>55</v>
      </c>
      <c r="B60" s="177" t="str">
        <f ca="1">IFERROR(__xludf.DUMMYFUNCTION("""COMPUTED_VALUE"""),"Nutrition")</f>
        <v>Nutrition</v>
      </c>
      <c r="C60" s="177" t="str">
        <f ca="1">IFERROR(__xludf.DUMMYFUNCTION("""COMPUTED_VALUE"""),"Micronutrient deficiency")</f>
        <v>Micronutrient deficiency</v>
      </c>
      <c r="D60" s="178" t="str">
        <f ca="1">IFERROR(__xludf.DUMMYFUNCTION("""COMPUTED_VALUE"""),"Humanitarian conditions")</f>
        <v>Humanitarian conditions</v>
      </c>
      <c r="E60" s="178" t="str">
        <f ca="1">IFERROR(__xludf.DUMMYFUNCTION("""COMPUTED_VALUE"""),"Physical and Mental Wellbeing")</f>
        <v>Physical and Mental Wellbeing</v>
      </c>
      <c r="F60" s="178" t="str">
        <f ca="1">IFERROR(__xludf.DUMMYFUNCTION("""COMPUTED_VALUE"""),"Prevalence of anemia Hb &lt;11g/dl in children 6 - 59 months")</f>
        <v>Prevalence of anemia Hb &lt;11g/dl in children 6 - 59 months</v>
      </c>
      <c r="G60" s="177"/>
      <c r="H60" s="177" t="s">
        <v>1011</v>
      </c>
      <c r="I60" s="177" t="s">
        <v>1011</v>
      </c>
      <c r="J60" s="177" t="s">
        <v>1011</v>
      </c>
      <c r="K60" s="179">
        <f ca="1">IFERROR(__xludf.DUMMYFUNCTION("""COMPUTED_VALUE"""),2)</f>
        <v>2</v>
      </c>
      <c r="L60" s="177" t="str">
        <f ca="1">IFERROR(__xludf.DUMMYFUNCTION("""COMPUTED_VALUE"""),"HH survey ")</f>
        <v xml:space="preserve">HH survey </v>
      </c>
      <c r="M60" s="177" t="str">
        <f ca="1">IFERROR(__xludf.DUMMYFUNCTION("""COMPUTED_VALUE"""),"SMART surveys")</f>
        <v>SMART surveys</v>
      </c>
      <c r="N60" s="178" t="str">
        <f ca="1">IFERROR(__xludf.DUMMYFUNCTION("""COMPUTED_VALUE"""),"&lt;5%")</f>
        <v>&lt;5%</v>
      </c>
      <c r="O60" s="178" t="str">
        <f ca="1">IFERROR(__xludf.DUMMYFUNCTION("""COMPUTED_VALUE"""),"5-19.9%")</f>
        <v>5-19.9%</v>
      </c>
      <c r="P60" s="178" t="str">
        <f ca="1">IFERROR(__xludf.DUMMYFUNCTION("""COMPUTED_VALUE"""),"20-39.9%")</f>
        <v>20-39.9%</v>
      </c>
      <c r="Q60" s="178" t="str">
        <f ca="1">IFERROR(__xludf.DUMMYFUNCTION("""COMPUTED_VALUE"""),"≥40%")</f>
        <v>≥40%</v>
      </c>
      <c r="R60" s="178"/>
      <c r="S60" s="177" t="str">
        <f ca="1">IFERROR(__xludf.DUMMYFUNCTION("""COMPUTED_VALUE"""),"Note that the threholds are not 5-points in nature")</f>
        <v>Note that the threholds are not 5-points in nature</v>
      </c>
    </row>
    <row r="61" spans="1:19" ht="105" hidden="1" customHeight="1">
      <c r="A61" s="159">
        <f ca="1">IFERROR(__xludf.DUMMYFUNCTION("""COMPUTED_VALUE"""),56)</f>
        <v>56</v>
      </c>
      <c r="B61" s="177" t="str">
        <f ca="1">IFERROR(__xludf.DUMMYFUNCTION("""COMPUTED_VALUE"""),"Nutrition")</f>
        <v>Nutrition</v>
      </c>
      <c r="C61" s="177" t="str">
        <f ca="1">IFERROR(__xludf.DUMMYFUNCTION("""COMPUTED_VALUE"""),"Micronutrient deficiency")</f>
        <v>Micronutrient deficiency</v>
      </c>
      <c r="D61" s="178" t="str">
        <f ca="1">IFERROR(__xludf.DUMMYFUNCTION("""COMPUTED_VALUE"""),"Humanitarian conditions")</f>
        <v>Humanitarian conditions</v>
      </c>
      <c r="E61" s="178" t="str">
        <f ca="1">IFERROR(__xludf.DUMMYFUNCTION("""COMPUTED_VALUE"""),"Physical and Mental Wellbeing")</f>
        <v>Physical and Mental Wellbeing</v>
      </c>
      <c r="F61" s="178" t="str">
        <f ca="1">IFERROR(__xludf.DUMMYFUNCTION("""COMPUTED_VALUE"""),"Prevalence of anemia Hb &lt;11g/dl in pregnant lactating women")</f>
        <v>Prevalence of anemia Hb &lt;11g/dl in pregnant lactating women</v>
      </c>
      <c r="G61" s="177"/>
      <c r="H61" s="177" t="s">
        <v>1011</v>
      </c>
      <c r="I61" s="177" t="s">
        <v>1011</v>
      </c>
      <c r="J61" s="177" t="s">
        <v>1011</v>
      </c>
      <c r="K61" s="179">
        <f ca="1">IFERROR(__xludf.DUMMYFUNCTION("""COMPUTED_VALUE"""),2)</f>
        <v>2</v>
      </c>
      <c r="L61" s="177" t="str">
        <f ca="1">IFERROR(__xludf.DUMMYFUNCTION("""COMPUTED_VALUE"""),"HH survey ")</f>
        <v xml:space="preserve">HH survey </v>
      </c>
      <c r="M61" s="177" t="str">
        <f ca="1">IFERROR(__xludf.DUMMYFUNCTION("""COMPUTED_VALUE"""),"SMART surveys")</f>
        <v>SMART surveys</v>
      </c>
      <c r="N61" s="178" t="str">
        <f ca="1">IFERROR(__xludf.DUMMYFUNCTION("""COMPUTED_VALUE"""),"&lt;5%")</f>
        <v>&lt;5%</v>
      </c>
      <c r="O61" s="178" t="str">
        <f ca="1">IFERROR(__xludf.DUMMYFUNCTION("""COMPUTED_VALUE"""),"5-19.9%")</f>
        <v>5-19.9%</v>
      </c>
      <c r="P61" s="178" t="str">
        <f ca="1">IFERROR(__xludf.DUMMYFUNCTION("""COMPUTED_VALUE"""),"20-39.9%")</f>
        <v>20-39.9%</v>
      </c>
      <c r="Q61" s="178" t="str">
        <f ca="1">IFERROR(__xludf.DUMMYFUNCTION("""COMPUTED_VALUE"""),"≥40%")</f>
        <v>≥40%</v>
      </c>
      <c r="R61" s="178"/>
      <c r="S61" s="177" t="str">
        <f ca="1">IFERROR(__xludf.DUMMYFUNCTION("""COMPUTED_VALUE"""),"Note that the threholds are not 5-points in nature")</f>
        <v>Note that the threholds are not 5-points in nature</v>
      </c>
    </row>
    <row r="62" spans="1:19" ht="105" hidden="1" customHeight="1">
      <c r="A62" s="159">
        <f ca="1">IFERROR(__xludf.DUMMYFUNCTION("""COMPUTED_VALUE"""),57)</f>
        <v>57</v>
      </c>
      <c r="B62" s="177" t="str">
        <f ca="1">IFERROR(__xludf.DUMMYFUNCTION("""COMPUTED_VALUE"""),"Nutrition")</f>
        <v>Nutrition</v>
      </c>
      <c r="C62" s="177" t="str">
        <f ca="1">IFERROR(__xludf.DUMMYFUNCTION("""COMPUTED_VALUE"""),"Mortality")</f>
        <v>Mortality</v>
      </c>
      <c r="D62" s="177" t="str">
        <f ca="1">IFERROR(__xludf.DUMMYFUNCTION("""COMPUTED_VALUE"""),"Humanitarian conditions")</f>
        <v>Humanitarian conditions</v>
      </c>
      <c r="E62" s="177" t="str">
        <f ca="1">IFERROR(__xludf.DUMMYFUNCTION("""COMPUTED_VALUE"""),"Physical and Mental Wellbeing")</f>
        <v>Physical and Mental Wellbeing</v>
      </c>
      <c r="F62" s="177" t="str">
        <f ca="1">IFERROR(__xludf.DUMMYFUNCTION("""COMPUTED_VALUE"""),"Crude Death/Mortality Rate (deaths/ 10,000 persons/ day)")</f>
        <v>Crude Death/Mortality Rate (deaths/ 10,000 persons/ day)</v>
      </c>
      <c r="G62" s="177"/>
      <c r="H62" s="177" t="s">
        <v>1011</v>
      </c>
      <c r="I62" s="177" t="s">
        <v>1135</v>
      </c>
      <c r="J62" s="177" t="s">
        <v>1011</v>
      </c>
      <c r="K62" s="177"/>
      <c r="L62" s="177" t="str">
        <f ca="1">IFERROR(__xludf.DUMMYFUNCTION("""COMPUTED_VALUE"""),"HH survey")</f>
        <v>HH survey</v>
      </c>
      <c r="M62" s="177" t="str">
        <f ca="1">IFERROR(__xludf.DUMMYFUNCTION("""COMPUTED_VALUE"""),"SMART surveys")</f>
        <v>SMART surveys</v>
      </c>
      <c r="N62" s="178"/>
      <c r="O62" s="178" t="str">
        <f ca="1">IFERROR(__xludf.DUMMYFUNCTION("""COMPUTED_VALUE"""),"&lt;0.5")</f>
        <v>&lt;0.5</v>
      </c>
      <c r="P62" s="178" t="str">
        <f ca="1">IFERROR(__xludf.DUMMYFUNCTION("""COMPUTED_VALUE"""),"0.5-0.9")</f>
        <v>0.5-0.9</v>
      </c>
      <c r="Q62" s="178" t="str">
        <f ca="1">IFERROR(__xludf.DUMMYFUNCTION("""COMPUTED_VALUE"""),"1-1.9")</f>
        <v>1-1.9</v>
      </c>
      <c r="R62" s="178" t="str">
        <f ca="1">IFERROR(__xludf.DUMMYFUNCTION("""COMPUTED_VALUE"""),"≥2")</f>
        <v>≥2</v>
      </c>
      <c r="S62" s="177" t="str">
        <f ca="1">IFERROR(__xludf.DUMMYFUNCTION("""COMPUTED_VALUE"""),"Note that the threholds are not 5-points in nature")</f>
        <v>Note that the threholds are not 5-points in nature</v>
      </c>
    </row>
    <row r="63" spans="1:19" ht="105" hidden="1" customHeight="1">
      <c r="A63" s="159">
        <f ca="1">IFERROR(__xludf.DUMMYFUNCTION("""COMPUTED_VALUE"""),58)</f>
        <v>58</v>
      </c>
      <c r="B63" s="177" t="str">
        <f ca="1">IFERROR(__xludf.DUMMYFUNCTION("""COMPUTED_VALUE"""),"Nutrition")</f>
        <v>Nutrition</v>
      </c>
      <c r="C63" s="177" t="str">
        <f ca="1">IFERROR(__xludf.DUMMYFUNCTION("""COMPUTED_VALUE"""),"Mortality")</f>
        <v>Mortality</v>
      </c>
      <c r="D63" s="177" t="str">
        <f ca="1">IFERROR(__xludf.DUMMYFUNCTION("""COMPUTED_VALUE"""),"Humanitarian conditions")</f>
        <v>Humanitarian conditions</v>
      </c>
      <c r="E63" s="177" t="str">
        <f ca="1">IFERROR(__xludf.DUMMYFUNCTION("""COMPUTED_VALUE"""),"Physical and Mental Wellbeing")</f>
        <v>Physical and Mental Wellbeing</v>
      </c>
      <c r="F63" s="177" t="str">
        <f ca="1">IFERROR(__xludf.DUMMYFUNCTION("""COMPUTED_VALUE"""),"Under-five Death/Mortality Rate (deaths/ 10,000 children U5/ day)")</f>
        <v>Under-five Death/Mortality Rate (deaths/ 10,000 children U5/ day)</v>
      </c>
      <c r="G63" s="177"/>
      <c r="H63" s="177" t="s">
        <v>1011</v>
      </c>
      <c r="I63" s="177" t="s">
        <v>1134</v>
      </c>
      <c r="J63" s="177" t="s">
        <v>1011</v>
      </c>
      <c r="K63" s="177"/>
      <c r="L63" s="177" t="str">
        <f ca="1">IFERROR(__xludf.DUMMYFUNCTION("""COMPUTED_VALUE"""),"HH survey")</f>
        <v>HH survey</v>
      </c>
      <c r="M63" s="177" t="str">
        <f ca="1">IFERROR(__xludf.DUMMYFUNCTION("""COMPUTED_VALUE"""),"SMART surveys")</f>
        <v>SMART surveys</v>
      </c>
      <c r="N63" s="178"/>
      <c r="O63" s="178" t="str">
        <f ca="1">IFERROR(__xludf.DUMMYFUNCTION("""COMPUTED_VALUE"""),"&lt;1")</f>
        <v>&lt;1</v>
      </c>
      <c r="P63" s="178" t="str">
        <f ca="1">IFERROR(__xludf.DUMMYFUNCTION("""COMPUTED_VALUE"""),"1-1.9")</f>
        <v>1-1.9</v>
      </c>
      <c r="Q63" s="178" t="str">
        <f ca="1">IFERROR(__xludf.DUMMYFUNCTION("""COMPUTED_VALUE"""),"2-3.9")</f>
        <v>2-3.9</v>
      </c>
      <c r="R63" s="178" t="str">
        <f ca="1">IFERROR(__xludf.DUMMYFUNCTION("""COMPUTED_VALUE"""),"≥4")</f>
        <v>≥4</v>
      </c>
      <c r="S63" s="177" t="str">
        <f ca="1">IFERROR(__xludf.DUMMYFUNCTION("""COMPUTED_VALUE"""),"Note that the threholds are not 5-points in nature")</f>
        <v>Note that the threholds are not 5-points in nature</v>
      </c>
    </row>
    <row r="64" spans="1:19" ht="105" hidden="1" customHeight="1">
      <c r="A64" s="159">
        <f ca="1">IFERROR(__xludf.DUMMYFUNCTION("""COMPUTED_VALUE"""),59)</f>
        <v>59</v>
      </c>
      <c r="B64" s="177" t="str">
        <f ca="1">IFERROR(__xludf.DUMMYFUNCTION("""COMPUTED_VALUE"""),"Nutrition")</f>
        <v>Nutrition</v>
      </c>
      <c r="C64" s="177" t="str">
        <f ca="1">IFERROR(__xludf.DUMMYFUNCTION("""COMPUTED_VALUE"""),"Overweight")</f>
        <v>Overweight</v>
      </c>
      <c r="D64" s="177" t="str">
        <f ca="1">IFERROR(__xludf.DUMMYFUNCTION("""COMPUTED_VALUE"""),"Humanitarian conditions")</f>
        <v>Humanitarian conditions</v>
      </c>
      <c r="E64" s="177" t="str">
        <f ca="1">IFERROR(__xludf.DUMMYFUNCTION("""COMPUTED_VALUE"""),"Physical and Mental Wellbeing")</f>
        <v>Physical and Mental Wellbeing</v>
      </c>
      <c r="F64" s="177" t="str">
        <f ca="1">IFERROR(__xludf.DUMMYFUNCTION("""COMPUTED_VALUE"""),"Prevalence of overweight based on weight for height Z-score (WHZ)&gt;2 among children 0-59 months")</f>
        <v>Prevalence of overweight based on weight for height Z-score (WHZ)&gt;2 among children 0-59 months</v>
      </c>
      <c r="G64" s="177"/>
      <c r="H64" s="177" t="s">
        <v>1011</v>
      </c>
      <c r="I64" s="177" t="s">
        <v>1011</v>
      </c>
      <c r="J64" s="177" t="s">
        <v>1011</v>
      </c>
      <c r="K64" s="177" t="str">
        <f ca="1">IFERROR(__xludf.DUMMYFUNCTION("""COMPUTED_VALUE"""),"1 in certain contexts")</f>
        <v>1 in certain contexts</v>
      </c>
      <c r="L64" s="177" t="str">
        <f ca="1">IFERROR(__xludf.DUMMYFUNCTION("""COMPUTED_VALUE"""),"HH survey ")</f>
        <v xml:space="preserve">HH survey </v>
      </c>
      <c r="M64" s="177" t="str">
        <f ca="1">IFERROR(__xludf.DUMMYFUNCTION("""COMPUTED_VALUE"""),"SMART surveys")</f>
        <v>SMART surveys</v>
      </c>
      <c r="N64" s="178" t="str">
        <f ca="1">IFERROR(__xludf.DUMMYFUNCTION("""COMPUTED_VALUE"""),"&lt;2.5%")</f>
        <v>&lt;2.5%</v>
      </c>
      <c r="O64" s="178" t="str">
        <f ca="1">IFERROR(__xludf.DUMMYFUNCTION("""COMPUTED_VALUE"""),"2.5-4.9%")</f>
        <v>2.5-4.9%</v>
      </c>
      <c r="P64" s="178" t="str">
        <f ca="1">IFERROR(__xludf.DUMMYFUNCTION("""COMPUTED_VALUE"""),"5-9.9%")</f>
        <v>5-9.9%</v>
      </c>
      <c r="Q64" s="178" t="str">
        <f ca="1">IFERROR(__xludf.DUMMYFUNCTION("""COMPUTED_VALUE"""),"10-14.9%")</f>
        <v>10-14.9%</v>
      </c>
      <c r="R64" s="178" t="str">
        <f ca="1">IFERROR(__xludf.DUMMYFUNCTION("""COMPUTED_VALUE"""),"≥15%")</f>
        <v>≥15%</v>
      </c>
      <c r="S64" s="177" t="str">
        <f ca="1">IFERROR(__xludf.DUMMYFUNCTION("""COMPUTED_VALUE"""),"Physical and Mental Well-being if GAM is &lt;5%. If not, move to Living Standards")</f>
        <v>Physical and Mental Well-being if GAM is &lt;5%. If not, move to Living Standards</v>
      </c>
    </row>
    <row r="65" spans="1:19" ht="105" hidden="1" customHeight="1">
      <c r="A65" s="159">
        <f ca="1">IFERROR(__xludf.DUMMYFUNCTION("""COMPUTED_VALUE"""),60)</f>
        <v>60</v>
      </c>
      <c r="B65" s="177" t="str">
        <f ca="1">IFERROR(__xludf.DUMMYFUNCTION("""COMPUTED_VALUE"""),"Nutrition")</f>
        <v>Nutrition</v>
      </c>
      <c r="C65" s="177" t="str">
        <f ca="1">IFERROR(__xludf.DUMMYFUNCTION("""COMPUTED_VALUE"""),"Stunting")</f>
        <v>Stunting</v>
      </c>
      <c r="D65" s="177" t="str">
        <f ca="1">IFERROR(__xludf.DUMMYFUNCTION("""COMPUTED_VALUE"""),"Humanitarian conditions")</f>
        <v>Humanitarian conditions</v>
      </c>
      <c r="E65" s="177" t="str">
        <f ca="1">IFERROR(__xludf.DUMMYFUNCTION("""COMPUTED_VALUE"""),"Physical and Mental Wellbeing")</f>
        <v>Physical and Mental Wellbeing</v>
      </c>
      <c r="F65" s="177" t="str">
        <f ca="1">IFERROR(__xludf.DUMMYFUNCTION("""COMPUTED_VALUE"""),"Prevalence of stunting based on height-for-age Z-score (HAZ)&lt;-2 among children 0-59 months")</f>
        <v>Prevalence of stunting based on height-for-age Z-score (HAZ)&lt;-2 among children 0-59 months</v>
      </c>
      <c r="G65" s="177"/>
      <c r="H65" s="177" t="s">
        <v>1011</v>
      </c>
      <c r="I65" s="177" t="s">
        <v>1133</v>
      </c>
      <c r="J65" s="177" t="s">
        <v>1011</v>
      </c>
      <c r="K65" s="177" t="str">
        <f ca="1">IFERROR(__xludf.DUMMYFUNCTION("""COMPUTED_VALUE"""),"1 if for Living Standards")</f>
        <v>1 if for Living Standards</v>
      </c>
      <c r="L65" s="177" t="str">
        <f ca="1">IFERROR(__xludf.DUMMYFUNCTION("""COMPUTED_VALUE"""),"HH survey ")</f>
        <v xml:space="preserve">HH survey </v>
      </c>
      <c r="M65" s="177" t="str">
        <f ca="1">IFERROR(__xludf.DUMMYFUNCTION("""COMPUTED_VALUE"""),"SMART surveys")</f>
        <v>SMART surveys</v>
      </c>
      <c r="N65" s="178" t="str">
        <f ca="1">IFERROR(__xludf.DUMMYFUNCTION("""COMPUTED_VALUE"""),"&lt;10%")</f>
        <v>&lt;10%</v>
      </c>
      <c r="O65" s="178" t="str">
        <f ca="1">IFERROR(__xludf.DUMMYFUNCTION("""COMPUTED_VALUE"""),"10-19.9%")</f>
        <v>10-19.9%</v>
      </c>
      <c r="P65" s="178" t="str">
        <f ca="1">IFERROR(__xludf.DUMMYFUNCTION("""COMPUTED_VALUE"""),"20-29.9%")</f>
        <v>20-29.9%</v>
      </c>
      <c r="Q65" s="178" t="str">
        <f ca="1">IFERROR(__xludf.DUMMYFUNCTION("""COMPUTED_VALUE"""),"≥30%")</f>
        <v>≥30%</v>
      </c>
      <c r="R65" s="178"/>
      <c r="S65" s="177" t="str">
        <f ca="1">IFERROR(__xludf.DUMMYFUNCTION("""COMPUTED_VALUE"""),"Physical and Mental Well-being if GAM is &lt;5%. If not, then move to Living Standards")</f>
        <v>Physical and Mental Well-being if GAM is &lt;5%. If not, then move to Living Standards</v>
      </c>
    </row>
    <row r="66" spans="1:19" ht="105" hidden="1" customHeight="1">
      <c r="A66" s="159">
        <f ca="1">IFERROR(__xludf.DUMMYFUNCTION("""COMPUTED_VALUE"""),61)</f>
        <v>61</v>
      </c>
      <c r="B66" s="180" t="str">
        <f ca="1">IFERROR(__xludf.DUMMYFUNCTION("""COMPUTED_VALUE"""),"Protection")</f>
        <v>Protection</v>
      </c>
      <c r="C66" s="180" t="str">
        <f ca="1">IFERROR(__xludf.DUMMYFUNCTION("""COMPUTED_VALUE"""),"CP")</f>
        <v>CP</v>
      </c>
      <c r="D66" s="180" t="str">
        <f ca="1">IFERROR(__xludf.DUMMYFUNCTION("""COMPUTED_VALUE"""),"Humanitarian Conditions")</f>
        <v>Humanitarian Conditions</v>
      </c>
      <c r="E66" s="180" t="str">
        <f ca="1">IFERROR(__xludf.DUMMYFUNCTION("""COMPUTED_VALUE"""),"Living Standards")</f>
        <v>Living Standards</v>
      </c>
      <c r="F66" s="180" t="str">
        <f ca="1">IFERROR(__xludf.DUMMYFUNCTION("""COMPUTED_VALUE"""),"% of girls / boys not regularly attending school")</f>
        <v>% of girls / boys not regularly attending school</v>
      </c>
      <c r="G66" s="180"/>
      <c r="H66" s="180"/>
      <c r="I66" s="180"/>
      <c r="J66" s="180"/>
      <c r="K66" s="180"/>
      <c r="L66" s="180" t="str">
        <f ca="1">IFERROR(__xludf.DUMMYFUNCTION("""COMPUTED_VALUE"""),"HH survey / KI")</f>
        <v>HH survey / KI</v>
      </c>
      <c r="M66" s="180" t="str">
        <f ca="1">IFERROR(__xludf.DUMMYFUNCTION("""COMPUTED_VALUE"""),"MSNA / EMIS or school database / EiE assessment")</f>
        <v>MSNA / EMIS or school database / EiE assessment</v>
      </c>
      <c r="N66" s="180"/>
      <c r="O66" s="180"/>
      <c r="P66" s="180"/>
      <c r="Q66" s="180"/>
      <c r="R66" s="180"/>
      <c r="S66" s="180"/>
    </row>
    <row r="67" spans="1:19" ht="105" hidden="1" customHeight="1">
      <c r="A67" s="159">
        <f ca="1">IFERROR(__xludf.DUMMYFUNCTION("""COMPUTED_VALUE"""),62)</f>
        <v>62</v>
      </c>
      <c r="B67" s="180" t="str">
        <f ca="1">IFERROR(__xludf.DUMMYFUNCTION("""COMPUTED_VALUE"""),"Protection")</f>
        <v>Protection</v>
      </c>
      <c r="C67" s="180" t="str">
        <f ca="1">IFERROR(__xludf.DUMMYFUNCTION("""COMPUTED_VALUE"""),"CP")</f>
        <v>CP</v>
      </c>
      <c r="D67" s="180" t="str">
        <f ca="1">IFERROR(__xludf.DUMMYFUNCTION("""COMPUTED_VALUE"""),"Humanitarian Conditions")</f>
        <v>Humanitarian Conditions</v>
      </c>
      <c r="E67" s="180" t="str">
        <f ca="1">IFERROR(__xludf.DUMMYFUNCTION("""COMPUTED_VALUE"""),"Living Standards")</f>
        <v>Living Standards</v>
      </c>
      <c r="F67" s="180" t="str">
        <f ca="1">IFERROR(__xludf.DUMMYFUNCTION("""COMPUTED_VALUE"""),"% of girls / boys without access to core CP services")</f>
        <v>% of girls / boys without access to core CP services</v>
      </c>
      <c r="G67" s="180"/>
      <c r="H67" s="180"/>
      <c r="I67" s="180"/>
      <c r="J67" s="180"/>
      <c r="K67" s="181">
        <f ca="1">IFERROR(__xludf.DUMMYFUNCTION("""COMPUTED_VALUE"""),1)</f>
        <v>1</v>
      </c>
      <c r="L67" s="180" t="str">
        <f ca="1">IFERROR(__xludf.DUMMYFUNCTION("""COMPUTED_VALUE"""),"KI")</f>
        <v>KI</v>
      </c>
      <c r="M67" s="180" t="str">
        <f ca="1">IFERROR(__xludf.DUMMYFUNCTION("""COMPUTED_VALUE"""),"Protection Monitoring / Service mapping")</f>
        <v>Protection Monitoring / Service mapping</v>
      </c>
      <c r="N67" s="181">
        <f ca="1">IFERROR(__xludf.DUMMYFUNCTION("""COMPUTED_VALUE"""),0)</f>
        <v>0</v>
      </c>
      <c r="O67" s="180" t="str">
        <f ca="1">IFERROR(__xludf.DUMMYFUNCTION("""COMPUTED_VALUE"""),"0-5%")</f>
        <v>0-5%</v>
      </c>
      <c r="P67" s="180" t="str">
        <f ca="1">IFERROR(__xludf.DUMMYFUNCTION("""COMPUTED_VALUE"""),"6-10%")</f>
        <v>6-10%</v>
      </c>
      <c r="Q67" s="180" t="str">
        <f ca="1">IFERROR(__xludf.DUMMYFUNCTION("""COMPUTED_VALUE"""),"10-13%")</f>
        <v>10-13%</v>
      </c>
      <c r="R67" s="180" t="str">
        <f ca="1">IFERROR(__xludf.DUMMYFUNCTION("""COMPUTED_VALUE"""),"13% +")</f>
        <v>13% +</v>
      </c>
      <c r="S67" s="180"/>
    </row>
    <row r="68" spans="1:19" ht="105" hidden="1" customHeight="1">
      <c r="A68" s="159">
        <f ca="1">IFERROR(__xludf.DUMMYFUNCTION("""COMPUTED_VALUE"""),63)</f>
        <v>63</v>
      </c>
      <c r="B68" s="180" t="str">
        <f ca="1">IFERROR(__xludf.DUMMYFUNCTION("""COMPUTED_VALUE"""),"Protection")</f>
        <v>Protection</v>
      </c>
      <c r="C68" s="180" t="str">
        <f ca="1">IFERROR(__xludf.DUMMYFUNCTION("""COMPUTED_VALUE"""),"CP")</f>
        <v>CP</v>
      </c>
      <c r="D68" s="180" t="str">
        <f ca="1">IFERROR(__xludf.DUMMYFUNCTION("""COMPUTED_VALUE"""),"Humanitarian Conditions")</f>
        <v>Humanitarian Conditions</v>
      </c>
      <c r="E68" s="180" t="str">
        <f ca="1">IFERROR(__xludf.DUMMYFUNCTION("""COMPUTED_VALUE"""),"Living Standards")</f>
        <v>Living Standards</v>
      </c>
      <c r="F68" s="180" t="str">
        <f ca="1">IFERROR(__xludf.DUMMYFUNCTION("""COMPUTED_VALUE"""),"% of HHs with knowledge on available core CP services")</f>
        <v>% of HHs with knowledge on available core CP services</v>
      </c>
      <c r="G68" s="180"/>
      <c r="H68" s="180"/>
      <c r="I68" s="180"/>
      <c r="J68" s="180"/>
      <c r="K68" s="181">
        <f ca="1">IFERROR(__xludf.DUMMYFUNCTION("""COMPUTED_VALUE"""),2)</f>
        <v>2</v>
      </c>
      <c r="L68" s="180" t="str">
        <f ca="1">IFERROR(__xludf.DUMMYFUNCTION("""COMPUTED_VALUE"""),"HH Survey")</f>
        <v>HH Survey</v>
      </c>
      <c r="M68" s="180" t="str">
        <f ca="1">IFERROR(__xludf.DUMMYFUNCTION("""COMPUTED_VALUE"""),"MSNA / Protection Monitoring")</f>
        <v>MSNA / Protection Monitoring</v>
      </c>
      <c r="N68" s="181">
        <f ca="1">IFERROR(__xludf.DUMMYFUNCTION("""COMPUTED_VALUE"""),0)</f>
        <v>0</v>
      </c>
      <c r="O68" s="180" t="str">
        <f ca="1">IFERROR(__xludf.DUMMYFUNCTION("""COMPUTED_VALUE"""),"0-5%")</f>
        <v>0-5%</v>
      </c>
      <c r="P68" s="180" t="str">
        <f ca="1">IFERROR(__xludf.DUMMYFUNCTION("""COMPUTED_VALUE"""),"6-10%")</f>
        <v>6-10%</v>
      </c>
      <c r="Q68" s="180" t="str">
        <f ca="1">IFERROR(__xludf.DUMMYFUNCTION("""COMPUTED_VALUE"""),"10-13%")</f>
        <v>10-13%</v>
      </c>
      <c r="R68" s="180" t="str">
        <f ca="1">IFERROR(__xludf.DUMMYFUNCTION("""COMPUTED_VALUE"""),"13% +")</f>
        <v>13% +</v>
      </c>
      <c r="S68" s="180"/>
    </row>
    <row r="69" spans="1:19" ht="105" hidden="1" customHeight="1">
      <c r="A69" s="159">
        <f ca="1">IFERROR(__xludf.DUMMYFUNCTION("""COMPUTED_VALUE"""),64)</f>
        <v>64</v>
      </c>
      <c r="B69" s="180" t="str">
        <f ca="1">IFERROR(__xludf.DUMMYFUNCTION("""COMPUTED_VALUE"""),"Protection")</f>
        <v>Protection</v>
      </c>
      <c r="C69" s="180" t="str">
        <f ca="1">IFERROR(__xludf.DUMMYFUNCTION("""COMPUTED_VALUE"""),"CP")</f>
        <v>CP</v>
      </c>
      <c r="D69" s="180" t="str">
        <f ca="1">IFERROR(__xludf.DUMMYFUNCTION("""COMPUTED_VALUE"""),"Humanitarian Conditions")</f>
        <v>Humanitarian Conditions</v>
      </c>
      <c r="E69" s="180" t="str">
        <f ca="1">IFERROR(__xludf.DUMMYFUNCTION("""COMPUTED_VALUE"""),"Physical and Mental Wellbeing")</f>
        <v>Physical and Mental Wellbeing</v>
      </c>
      <c r="F69" s="180" t="str">
        <f ca="1">IFERROR(__xludf.DUMMYFUNCTION("""COMPUTED_VALUE"""),"% of girls / boys engaged in hazardours child labour")</f>
        <v>% of girls / boys engaged in hazardours child labour</v>
      </c>
      <c r="G69" s="180"/>
      <c r="H69" s="180"/>
      <c r="I69" s="180"/>
      <c r="J69" s="180"/>
      <c r="K69" s="181">
        <f ca="1">IFERROR(__xludf.DUMMYFUNCTION("""COMPUTED_VALUE"""),1)</f>
        <v>1</v>
      </c>
      <c r="L69" s="180" t="str">
        <f ca="1">IFERROR(__xludf.DUMMYFUNCTION("""COMPUTED_VALUE"""),"HH Survey / KI")</f>
        <v>HH Survey / KI</v>
      </c>
      <c r="M69" s="180" t="str">
        <f ca="1">IFERROR(__xludf.DUMMYFUNCTION("""COMPUTED_VALUE"""),"MSNA / MoSA / MoL / UNICEF")</f>
        <v>MSNA / MoSA / MoL / UNICEF</v>
      </c>
      <c r="N69" s="181">
        <f ca="1">IFERROR(__xludf.DUMMYFUNCTION("""COMPUTED_VALUE"""),0)</f>
        <v>0</v>
      </c>
      <c r="O69" s="180" t="str">
        <f ca="1">IFERROR(__xludf.DUMMYFUNCTION("""COMPUTED_VALUE"""),"0-5%")</f>
        <v>0-5%</v>
      </c>
      <c r="P69" s="180" t="str">
        <f ca="1">IFERROR(__xludf.DUMMYFUNCTION("""COMPUTED_VALUE"""),"6-10%")</f>
        <v>6-10%</v>
      </c>
      <c r="Q69" s="180" t="str">
        <f ca="1">IFERROR(__xludf.DUMMYFUNCTION("""COMPUTED_VALUE"""),"10-13%")</f>
        <v>10-13%</v>
      </c>
      <c r="R69" s="180" t="str">
        <f ca="1">IFERROR(__xludf.DUMMYFUNCTION("""COMPUTED_VALUE"""),"13% +")</f>
        <v>13% +</v>
      </c>
      <c r="S69" s="180"/>
    </row>
    <row r="70" spans="1:19" ht="105" hidden="1" customHeight="1">
      <c r="A70" s="159">
        <f ca="1">IFERROR(__xludf.DUMMYFUNCTION("""COMPUTED_VALUE"""),65)</f>
        <v>65</v>
      </c>
      <c r="B70" s="180" t="str">
        <f ca="1">IFERROR(__xludf.DUMMYFUNCTION("""COMPUTED_VALUE"""),"Protection")</f>
        <v>Protection</v>
      </c>
      <c r="C70" s="180" t="str">
        <f ca="1">IFERROR(__xludf.DUMMYFUNCTION("""COMPUTED_VALUE"""),"CP")</f>
        <v>CP</v>
      </c>
      <c r="D70" s="180" t="str">
        <f ca="1">IFERROR(__xludf.DUMMYFUNCTION("""COMPUTED_VALUE"""),"Humanitarian Conditions")</f>
        <v>Humanitarian Conditions</v>
      </c>
      <c r="E70" s="180" t="str">
        <f ca="1">IFERROR(__xludf.DUMMYFUNCTION("""COMPUTED_VALUE"""),"Physical and Mental Wellbeing")</f>
        <v>Physical and Mental Wellbeing</v>
      </c>
      <c r="F70" s="180" t="str">
        <f ca="1">IFERROR(__xludf.DUMMYFUNCTION("""COMPUTED_VALUE"""),"% of girls / boys that have been separated from their parents or other typical adult caregivers")</f>
        <v>% of girls / boys that have been separated from their parents or other typical adult caregivers</v>
      </c>
      <c r="G70" s="180"/>
      <c r="H70" s="180"/>
      <c r="I70" s="180"/>
      <c r="J70" s="180"/>
      <c r="K70" s="181">
        <f ca="1">IFERROR(__xludf.DUMMYFUNCTION("""COMPUTED_VALUE"""),1)</f>
        <v>1</v>
      </c>
      <c r="L70" s="180" t="str">
        <f ca="1">IFERROR(__xludf.DUMMYFUNCTION("""COMPUTED_VALUE"""),"HH Survey / KI")</f>
        <v>HH Survey / KI</v>
      </c>
      <c r="M70" s="180" t="str">
        <f ca="1">IFERROR(__xludf.DUMMYFUNCTION("""COMPUTED_VALUE"""),"MSNA / Protection Monitoring / DTM")</f>
        <v>MSNA / Protection Monitoring / DTM</v>
      </c>
      <c r="N70" s="181">
        <f ca="1">IFERROR(__xludf.DUMMYFUNCTION("""COMPUTED_VALUE"""),0)</f>
        <v>0</v>
      </c>
      <c r="O70" s="180" t="str">
        <f ca="1">IFERROR(__xludf.DUMMYFUNCTION("""COMPUTED_VALUE"""),"0-0.5%")</f>
        <v>0-0.5%</v>
      </c>
      <c r="P70" s="180" t="str">
        <f ca="1">IFERROR(__xludf.DUMMYFUNCTION("""COMPUTED_VALUE"""),"0.5-1%")</f>
        <v>0.5-1%</v>
      </c>
      <c r="Q70" s="180" t="str">
        <f ca="1">IFERROR(__xludf.DUMMYFUNCTION("""COMPUTED_VALUE"""),"1-2%")</f>
        <v>1-2%</v>
      </c>
      <c r="R70" s="180" t="str">
        <f ca="1">IFERROR(__xludf.DUMMYFUNCTION("""COMPUTED_VALUE"""),"3%+")</f>
        <v>3%+</v>
      </c>
      <c r="S70" s="180"/>
    </row>
    <row r="71" spans="1:19" ht="105" hidden="1" customHeight="1">
      <c r="A71" s="159">
        <f ca="1">IFERROR(__xludf.DUMMYFUNCTION("""COMPUTED_VALUE"""),66)</f>
        <v>66</v>
      </c>
      <c r="B71" s="180" t="str">
        <f ca="1">IFERROR(__xludf.DUMMYFUNCTION("""COMPUTED_VALUE"""),"Protection")</f>
        <v>Protection</v>
      </c>
      <c r="C71" s="180" t="str">
        <f ca="1">IFERROR(__xludf.DUMMYFUNCTION("""COMPUTED_VALUE"""),"CP")</f>
        <v>CP</v>
      </c>
      <c r="D71" s="180" t="str">
        <f ca="1">IFERROR(__xludf.DUMMYFUNCTION("""COMPUTED_VALUE"""),"Humanitarian Conditions")</f>
        <v>Humanitarian Conditions</v>
      </c>
      <c r="E71" s="180" t="str">
        <f ca="1">IFERROR(__xludf.DUMMYFUNCTION("""COMPUTED_VALUE"""),"Physical and Mental Wellbeing")</f>
        <v>Physical and Mental Wellbeing</v>
      </c>
      <c r="F71" s="180" t="str">
        <f ca="1">IFERROR(__xludf.DUMMYFUNCTION("""COMPUTED_VALUE"""),"Prevalence of child marriage")</f>
        <v>Prevalence of child marriage</v>
      </c>
      <c r="G71" s="180"/>
      <c r="H71" s="180"/>
      <c r="I71" s="180"/>
      <c r="J71" s="180"/>
      <c r="K71" s="181">
        <f ca="1">IFERROR(__xludf.DUMMYFUNCTION("""COMPUTED_VALUE"""),1)</f>
        <v>1</v>
      </c>
      <c r="L71" s="180" t="str">
        <f ca="1">IFERROR(__xludf.DUMMYFUNCTION("""COMPUTED_VALUE"""),"HH Survey / KI")</f>
        <v>HH Survey / KI</v>
      </c>
      <c r="M71" s="180" t="str">
        <f ca="1">IFERROR(__xludf.DUMMYFUNCTION("""COMPUTED_VALUE"""),"MSNA / MoSA / UNICEF")</f>
        <v>MSNA / MoSA / UNICEF</v>
      </c>
      <c r="N71" s="180" t="str">
        <f ca="1">IFERROR(__xludf.DUMMYFUNCTION("""COMPUTED_VALUE"""),"0-9% of girls and boys married under the age of 18")</f>
        <v>0-9% of girls and boys married under the age of 18</v>
      </c>
      <c r="O71" s="180" t="str">
        <f ca="1">IFERROR(__xludf.DUMMYFUNCTION("""COMPUTED_VALUE"""),"10-19% of girls and boys married under the age of 18")</f>
        <v>10-19% of girls and boys married under the age of 18</v>
      </c>
      <c r="P71" s="180" t="str">
        <f ca="1">IFERROR(__xludf.DUMMYFUNCTION("""COMPUTED_VALUE"""),"20-25% of girls and boys married under the age of 18")</f>
        <v>20-25% of girls and boys married under the age of 18</v>
      </c>
      <c r="Q71" s="180" t="str">
        <f ca="1">IFERROR(__xludf.DUMMYFUNCTION("""COMPUTED_VALUE"""),"25-30% of girls and boys married under the age of 18")</f>
        <v>25-30% of girls and boys married under the age of 18</v>
      </c>
      <c r="R71" s="180" t="str">
        <f ca="1">IFERROR(__xludf.DUMMYFUNCTION("""COMPUTED_VALUE"""),"30 + % of girls and boys married under the age of 18")</f>
        <v>30 + % of girls and boys married under the age of 18</v>
      </c>
      <c r="S71" s="180"/>
    </row>
    <row r="72" spans="1:19" ht="105" hidden="1" customHeight="1">
      <c r="A72" s="159">
        <f ca="1">IFERROR(__xludf.DUMMYFUNCTION("""COMPUTED_VALUE"""),67)</f>
        <v>67</v>
      </c>
      <c r="B72" s="180" t="str">
        <f ca="1">IFERROR(__xludf.DUMMYFUNCTION("""COMPUTED_VALUE"""),"Protection")</f>
        <v>Protection</v>
      </c>
      <c r="C72" s="180" t="str">
        <f ca="1">IFERROR(__xludf.DUMMYFUNCTION("""COMPUTED_VALUE"""),"CP / GBV")</f>
        <v>CP / GBV</v>
      </c>
      <c r="D72" s="180" t="str">
        <f ca="1">IFERROR(__xludf.DUMMYFUNCTION("""COMPUTED_VALUE"""),"Humanitarian Conditions")</f>
        <v>Humanitarian Conditions</v>
      </c>
      <c r="E72" s="180" t="str">
        <f ca="1">IFERROR(__xludf.DUMMYFUNCTION("""COMPUTED_VALUE"""),"Coping Mechanisms")</f>
        <v>Coping Mechanisms</v>
      </c>
      <c r="F72" s="180" t="str">
        <f ca="1">IFERROR(__xludf.DUMMYFUNCTION("""COMPUTED_VALUE"""),"% of girls / boys engaging in harmful activities")</f>
        <v>% of girls / boys engaging in harmful activities</v>
      </c>
      <c r="G72" s="180"/>
      <c r="H72" s="180"/>
      <c r="I72" s="180"/>
      <c r="J72" s="180"/>
      <c r="K72" s="181">
        <f ca="1">IFERROR(__xludf.DUMMYFUNCTION("""COMPUTED_VALUE"""),1)</f>
        <v>1</v>
      </c>
      <c r="L72" s="180" t="str">
        <f ca="1">IFERROR(__xludf.DUMMYFUNCTION("""COMPUTED_VALUE"""),"HH Survey")</f>
        <v>HH Survey</v>
      </c>
      <c r="M72" s="180" t="str">
        <f ca="1">IFERROR(__xludf.DUMMYFUNCTION("""COMPUTED_VALUE"""),"MSNA / Protection Monitoring")</f>
        <v>MSNA / Protection Monitoring</v>
      </c>
      <c r="N72" s="181">
        <f ca="1">IFERROR(__xludf.DUMMYFUNCTION("""COMPUTED_VALUE"""),0)</f>
        <v>0</v>
      </c>
      <c r="O72" s="180" t="str">
        <f ca="1">IFERROR(__xludf.DUMMYFUNCTION("""COMPUTED_VALUE"""),"0-5%")</f>
        <v>0-5%</v>
      </c>
      <c r="P72" s="180" t="str">
        <f ca="1">IFERROR(__xludf.DUMMYFUNCTION("""COMPUTED_VALUE"""),"6-10%")</f>
        <v>6-10%</v>
      </c>
      <c r="Q72" s="180" t="str">
        <f ca="1">IFERROR(__xludf.DUMMYFUNCTION("""COMPUTED_VALUE"""),"10-13%")</f>
        <v>10-13%</v>
      </c>
      <c r="R72" s="180" t="str">
        <f ca="1">IFERROR(__xludf.DUMMYFUNCTION("""COMPUTED_VALUE"""),"13% +")</f>
        <v>13% +</v>
      </c>
      <c r="S72" s="180"/>
    </row>
    <row r="73" spans="1:19" ht="105" hidden="1" customHeight="1">
      <c r="A73" s="159">
        <f ca="1">IFERROR(__xludf.DUMMYFUNCTION("""COMPUTED_VALUE"""),68)</f>
        <v>68</v>
      </c>
      <c r="B73" s="180" t="str">
        <f ca="1">IFERROR(__xludf.DUMMYFUNCTION("""COMPUTED_VALUE"""),"Protection")</f>
        <v>Protection</v>
      </c>
      <c r="C73" s="180" t="str">
        <f ca="1">IFERROR(__xludf.DUMMYFUNCTION("""COMPUTED_VALUE"""),"GBV")</f>
        <v>GBV</v>
      </c>
      <c r="D73" s="180" t="str">
        <f ca="1">IFERROR(__xludf.DUMMYFUNCTION("""COMPUTED_VALUE"""),"Humanitarian Conditions")</f>
        <v>Humanitarian Conditions</v>
      </c>
      <c r="E73" s="180" t="str">
        <f ca="1">IFERROR(__xludf.DUMMYFUNCTION("""COMPUTED_VALUE"""),"Living Standards")</f>
        <v>Living Standards</v>
      </c>
      <c r="F73" s="180" t="str">
        <f ca="1">IFERROR(__xludf.DUMMYFUNCTION("""COMPUTED_VALUE"""),"% of girls / women without access to GBV-related services.")</f>
        <v>% of girls / women without access to GBV-related services.</v>
      </c>
      <c r="G73" s="180"/>
      <c r="H73" s="180"/>
      <c r="I73" s="180"/>
      <c r="J73" s="180"/>
      <c r="K73" s="181">
        <f ca="1">IFERROR(__xludf.DUMMYFUNCTION("""COMPUTED_VALUE"""),1)</f>
        <v>1</v>
      </c>
      <c r="L73" s="180" t="str">
        <f ca="1">IFERROR(__xludf.DUMMYFUNCTION("""COMPUTED_VALUE"""),"KI")</f>
        <v>KI</v>
      </c>
      <c r="M73" s="180" t="str">
        <f ca="1">IFERROR(__xludf.DUMMYFUNCTION("""COMPUTED_VALUE"""),"Protection Monitoring / Service mapping")</f>
        <v>Protection Monitoring / Service mapping</v>
      </c>
      <c r="N73" s="180" t="str">
        <f ca="1">IFERROR(__xludf.DUMMYFUNCTION("""COMPUTED_VALUE"""),"Up to 4 services available")</f>
        <v>Up to 4 services available</v>
      </c>
      <c r="O73" s="180" t="str">
        <f ca="1">IFERROR(__xludf.DUMMYFUNCTION("""COMPUTED_VALUE"""),"Up to 3 services available")</f>
        <v>Up to 3 services available</v>
      </c>
      <c r="P73" s="180" t="str">
        <f ca="1">IFERROR(__xludf.DUMMYFUNCTION("""COMPUTED_VALUE"""),"Up to 2 services available")</f>
        <v>Up to 2 services available</v>
      </c>
      <c r="Q73" s="180" t="str">
        <f ca="1">IFERROR(__xludf.DUMMYFUNCTION("""COMPUTED_VALUE"""),"Only 1 service available")</f>
        <v>Only 1 service available</v>
      </c>
      <c r="R73" s="180" t="str">
        <f ca="1">IFERROR(__xludf.DUMMYFUNCTION("""COMPUTED_VALUE"""),"No GBV service available")</f>
        <v>No GBV service available</v>
      </c>
      <c r="S73" s="180"/>
    </row>
    <row r="74" spans="1:19" ht="105" hidden="1" customHeight="1">
      <c r="A74" s="159">
        <f ca="1">IFERROR(__xludf.DUMMYFUNCTION("""COMPUTED_VALUE"""),69)</f>
        <v>69</v>
      </c>
      <c r="B74" s="180" t="str">
        <f ca="1">IFERROR(__xludf.DUMMYFUNCTION("""COMPUTED_VALUE"""),"Protection")</f>
        <v>Protection</v>
      </c>
      <c r="C74" s="180" t="str">
        <f ca="1">IFERROR(__xludf.DUMMYFUNCTION("""COMPUTED_VALUE"""),"GBV")</f>
        <v>GBV</v>
      </c>
      <c r="D74" s="180" t="str">
        <f ca="1">IFERROR(__xludf.DUMMYFUNCTION("""COMPUTED_VALUE"""),"Humanitarian Conditions")</f>
        <v>Humanitarian Conditions</v>
      </c>
      <c r="E74" s="180" t="str">
        <f ca="1">IFERROR(__xludf.DUMMYFUNCTION("""COMPUTED_VALUE"""),"Living Standards")</f>
        <v>Living Standards</v>
      </c>
      <c r="F74" s="180" t="str">
        <f ca="1">IFERROR(__xludf.DUMMYFUNCTION("""COMPUTED_VALUE"""),"% of HHs with knowledge on available core services for GBV survivors")</f>
        <v>% of HHs with knowledge on available core services for GBV survivors</v>
      </c>
      <c r="G74" s="180"/>
      <c r="H74" s="180"/>
      <c r="I74" s="180"/>
      <c r="J74" s="180"/>
      <c r="K74" s="181">
        <f ca="1">IFERROR(__xludf.DUMMYFUNCTION("""COMPUTED_VALUE"""),2)</f>
        <v>2</v>
      </c>
      <c r="L74" s="180" t="str">
        <f ca="1">IFERROR(__xludf.DUMMYFUNCTION("""COMPUTED_VALUE"""),"HH Survey")</f>
        <v>HH Survey</v>
      </c>
      <c r="M74" s="180" t="str">
        <f ca="1">IFERROR(__xludf.DUMMYFUNCTION("""COMPUTED_VALUE"""),"MSNA / Protection Monitoring")</f>
        <v>MSNA / Protection Monitoring</v>
      </c>
      <c r="N74" s="180" t="str">
        <f ca="1">IFERROR(__xludf.DUMMYFUNCTION("""COMPUTED_VALUE"""),"&lt; 20%")</f>
        <v>&lt; 20%</v>
      </c>
      <c r="O74" s="180" t="str">
        <f ca="1">IFERROR(__xludf.DUMMYFUNCTION("""COMPUTED_VALUE"""),"20% - 30%")</f>
        <v>20% - 30%</v>
      </c>
      <c r="P74" s="180" t="str">
        <f ca="1">IFERROR(__xludf.DUMMYFUNCTION("""COMPUTED_VALUE"""),"30% - 40%")</f>
        <v>30% - 40%</v>
      </c>
      <c r="Q74" s="180" t="str">
        <f ca="1">IFERROR(__xludf.DUMMYFUNCTION("""COMPUTED_VALUE"""),"40% - 50%")</f>
        <v>40% - 50%</v>
      </c>
      <c r="R74" s="180" t="str">
        <f ca="1">IFERROR(__xludf.DUMMYFUNCTION("""COMPUTED_VALUE"""),"&gt; 50%")</f>
        <v>&gt; 50%</v>
      </c>
      <c r="S74" s="180"/>
    </row>
    <row r="75" spans="1:19" ht="105" hidden="1" customHeight="1">
      <c r="A75" s="159">
        <f ca="1">IFERROR(__xludf.DUMMYFUNCTION("""COMPUTED_VALUE"""),70)</f>
        <v>70</v>
      </c>
      <c r="B75" s="180" t="str">
        <f ca="1">IFERROR(__xludf.DUMMYFUNCTION("""COMPUTED_VALUE"""),"Protection")</f>
        <v>Protection</v>
      </c>
      <c r="C75" s="180" t="str">
        <f ca="1">IFERROR(__xludf.DUMMYFUNCTION("""COMPUTED_VALUE"""),"GBV")</f>
        <v>GBV</v>
      </c>
      <c r="D75" s="180" t="str">
        <f ca="1">IFERROR(__xludf.DUMMYFUNCTION("""COMPUTED_VALUE"""),"Humanitarian Conditions")</f>
        <v>Humanitarian Conditions</v>
      </c>
      <c r="E75" s="180" t="str">
        <f ca="1">IFERROR(__xludf.DUMMYFUNCTION("""COMPUTED_VALUE"""),"Physical and Mental Wellbeing")</f>
        <v>Physical and Mental Wellbeing</v>
      </c>
      <c r="F75" s="180" t="str">
        <f ca="1">IFERROR(__xludf.DUMMYFUNCTION("""COMPUTED_VALUE"""),"% of girls / women who avoid areas because they feel unsafe")</f>
        <v>% of girls / women who avoid areas because they feel unsafe</v>
      </c>
      <c r="G75" s="180"/>
      <c r="H75" s="180"/>
      <c r="I75" s="180"/>
      <c r="J75" s="180"/>
      <c r="K75" s="181">
        <f ca="1">IFERROR(__xludf.DUMMYFUNCTION("""COMPUTED_VALUE"""),1)</f>
        <v>1</v>
      </c>
      <c r="L75" s="180" t="str">
        <f ca="1">IFERROR(__xludf.DUMMYFUNCTION("""COMPUTED_VALUE"""),"HH Survey / KI")</f>
        <v>HH Survey / KI</v>
      </c>
      <c r="M75" s="180" t="str">
        <f ca="1">IFERROR(__xludf.DUMMYFUNCTION("""COMPUTED_VALUE"""),"MSNA / Protection Monitoring")</f>
        <v>MSNA / Protection Monitoring</v>
      </c>
      <c r="N75" s="180" t="str">
        <f ca="1">IFERROR(__xludf.DUMMYFUNCTION("""COMPUTED_VALUE"""),"Women and girls do not avoid areas")</f>
        <v>Women and girls do not avoid areas</v>
      </c>
      <c r="O75" s="180" t="str">
        <f ca="1">IFERROR(__xludf.DUMMYFUNCTION("""COMPUTED_VALUE"""),"Women and girls avoid one area because they feel unsafe")</f>
        <v>Women and girls avoid one area because they feel unsafe</v>
      </c>
      <c r="P75" s="180" t="str">
        <f ca="1">IFERROR(__xludf.DUMMYFUNCTION("""COMPUTED_VALUE"""),"Women and girls avoid two areas because they feel unsafe")</f>
        <v>Women and girls avoid two areas because they feel unsafe</v>
      </c>
      <c r="Q75" s="180" t="str">
        <f ca="1">IFERROR(__xludf.DUMMYFUNCTION("""COMPUTED_VALUE"""),"Women and girls avoid three areas because they feel unsafe")</f>
        <v>Women and girls avoid three areas because they feel unsafe</v>
      </c>
      <c r="R75" s="180" t="str">
        <f ca="1">IFERROR(__xludf.DUMMYFUNCTION("""COMPUTED_VALUE"""),"Women and girls avoid four or more area because they feel unsafe")</f>
        <v>Women and girls avoid four or more area because they feel unsafe</v>
      </c>
      <c r="S75" s="180"/>
    </row>
    <row r="76" spans="1:19" ht="105" hidden="1" customHeight="1">
      <c r="A76" s="159">
        <f ca="1">IFERROR(__xludf.DUMMYFUNCTION("""COMPUTED_VALUE"""),71)</f>
        <v>71</v>
      </c>
      <c r="B76" s="180" t="str">
        <f ca="1">IFERROR(__xludf.DUMMYFUNCTION("""COMPUTED_VALUE"""),"Protection")</f>
        <v>Protection</v>
      </c>
      <c r="C76" s="180" t="str">
        <f ca="1">IFERROR(__xludf.DUMMYFUNCTION("""COMPUTED_VALUE"""),"GBV / CP")</f>
        <v>GBV / CP</v>
      </c>
      <c r="D76" s="180" t="str">
        <f ca="1">IFERROR(__xludf.DUMMYFUNCTION("""COMPUTED_VALUE"""),"Humanitarian Conditions")</f>
        <v>Humanitarian Conditions</v>
      </c>
      <c r="E76" s="180" t="str">
        <f ca="1">IFERROR(__xludf.DUMMYFUNCTION("""COMPUTED_VALUE"""),"Physical and Mental Wellbeing")</f>
        <v>Physical and Mental Wellbeing</v>
      </c>
      <c r="F76" s="180" t="str">
        <f ca="1">IFERROR(__xludf.DUMMYFUNCTION("""COMPUTED_VALUE"""),"% of HH reporting fear of GBV (sexual violence and forced marriage / reproduction) for girls / boys / women in the HH")</f>
        <v>% of HH reporting fear of GBV (sexual violence and forced marriage / reproduction) for girls / boys / women in the HH</v>
      </c>
      <c r="G76" s="180"/>
      <c r="H76" s="180"/>
      <c r="I76" s="180"/>
      <c r="J76" s="180"/>
      <c r="K76" s="181">
        <f ca="1">IFERROR(__xludf.DUMMYFUNCTION("""COMPUTED_VALUE"""),1)</f>
        <v>1</v>
      </c>
      <c r="L76" s="180" t="str">
        <f ca="1">IFERROR(__xludf.DUMMYFUNCTION("""COMPUTED_VALUE"""),"HH Survey / KI")</f>
        <v>HH Survey / KI</v>
      </c>
      <c r="M76" s="180" t="str">
        <f ca="1">IFERROR(__xludf.DUMMYFUNCTION("""COMPUTED_VALUE"""),"MSNA / Protection Monitoring")</f>
        <v>MSNA / Protection Monitoring</v>
      </c>
      <c r="N76" s="180" t="str">
        <f ca="1">IFERROR(__xludf.DUMMYFUNCTION("""COMPUTED_VALUE"""),"&lt; 20%")</f>
        <v>&lt; 20%</v>
      </c>
      <c r="O76" s="180" t="str">
        <f ca="1">IFERROR(__xludf.DUMMYFUNCTION("""COMPUTED_VALUE"""),"20% - 30%")</f>
        <v>20% - 30%</v>
      </c>
      <c r="P76" s="180" t="str">
        <f ca="1">IFERROR(__xludf.DUMMYFUNCTION("""COMPUTED_VALUE"""),"30% - 40%")</f>
        <v>30% - 40%</v>
      </c>
      <c r="Q76" s="180" t="str">
        <f ca="1">IFERROR(__xludf.DUMMYFUNCTION("""COMPUTED_VALUE"""),"40% - 50%")</f>
        <v>40% - 50%</v>
      </c>
      <c r="R76" s="180" t="str">
        <f ca="1">IFERROR(__xludf.DUMMYFUNCTION("""COMPUTED_VALUE"""),"&gt; 50%")</f>
        <v>&gt; 50%</v>
      </c>
      <c r="S76" s="180"/>
    </row>
    <row r="77" spans="1:19" ht="105" hidden="1" customHeight="1">
      <c r="A77" s="159">
        <f ca="1">IFERROR(__xludf.DUMMYFUNCTION("""COMPUTED_VALUE"""),72)</f>
        <v>72</v>
      </c>
      <c r="B77" s="180" t="str">
        <f ca="1">IFERROR(__xludf.DUMMYFUNCTION("""COMPUTED_VALUE"""),"Protection")</f>
        <v>Protection</v>
      </c>
      <c r="C77" s="180" t="str">
        <f ca="1">IFERROR(__xludf.DUMMYFUNCTION("""COMPUTED_VALUE"""),"GBV / CP")</f>
        <v>GBV / CP</v>
      </c>
      <c r="D77" s="180" t="str">
        <f ca="1">IFERROR(__xludf.DUMMYFUNCTION("""COMPUTED_VALUE"""),"Humanitarian Conditions")</f>
        <v>Humanitarian Conditions</v>
      </c>
      <c r="E77" s="180" t="str">
        <f ca="1">IFERROR(__xludf.DUMMYFUNCTION("""COMPUTED_VALUE"""),"Physical and Mental Wellbeing")</f>
        <v>Physical and Mental Wellbeing</v>
      </c>
      <c r="F77" s="180" t="str">
        <f ca="1">IFERROR(__xludf.DUMMYFUNCTION("""COMPUTED_VALUE"""),"% of girls / boys / women at risk of GBV (sexual violence and forced marriage / reproduction)")</f>
        <v>% of girls / boys / women at risk of GBV (sexual violence and forced marriage / reproduction)</v>
      </c>
      <c r="G77" s="180"/>
      <c r="H77" s="180"/>
      <c r="I77" s="180"/>
      <c r="J77" s="180"/>
      <c r="K77" s="180"/>
      <c r="L77" s="180" t="str">
        <f ca="1">IFERROR(__xludf.DUMMYFUNCTION("""COMPUTED_VALUE"""),"KI")</f>
        <v>KI</v>
      </c>
      <c r="M77" s="180" t="str">
        <f ca="1">IFERROR(__xludf.DUMMYFUNCTION("""COMPUTED_VALUE"""),"XX")</f>
        <v>XX</v>
      </c>
      <c r="N77" s="180" t="str">
        <f ca="1">IFERROR(__xludf.DUMMYFUNCTION("""COMPUTED_VALUE"""),"&lt; 20%")</f>
        <v>&lt; 20%</v>
      </c>
      <c r="O77" s="180" t="str">
        <f ca="1">IFERROR(__xludf.DUMMYFUNCTION("""COMPUTED_VALUE"""),"20% - 30%")</f>
        <v>20% - 30%</v>
      </c>
      <c r="P77" s="180" t="str">
        <f ca="1">IFERROR(__xludf.DUMMYFUNCTION("""COMPUTED_VALUE"""),"30% - 40%")</f>
        <v>30% - 40%</v>
      </c>
      <c r="Q77" s="180" t="str">
        <f ca="1">IFERROR(__xludf.DUMMYFUNCTION("""COMPUTED_VALUE"""),"40% - 50%")</f>
        <v>40% - 50%</v>
      </c>
      <c r="R77" s="180" t="str">
        <f ca="1">IFERROR(__xludf.DUMMYFUNCTION("""COMPUTED_VALUE"""),"&gt; 50%")</f>
        <v>&gt; 50%</v>
      </c>
      <c r="S77" s="180"/>
    </row>
    <row r="78" spans="1:19" ht="105" hidden="1" customHeight="1">
      <c r="A78" s="159">
        <f ca="1">IFERROR(__xludf.DUMMYFUNCTION("""COMPUTED_VALUE"""),73)</f>
        <v>73</v>
      </c>
      <c r="B78" s="180" t="str">
        <f ca="1">IFERROR(__xludf.DUMMYFUNCTION("""COMPUTED_VALUE"""),"Protection")</f>
        <v>Protection</v>
      </c>
      <c r="C78" s="180" t="str">
        <f ca="1">IFERROR(__xludf.DUMMYFUNCTION("""COMPUTED_VALUE"""),"HLP")</f>
        <v>HLP</v>
      </c>
      <c r="D78" s="180" t="str">
        <f ca="1">IFERROR(__xludf.DUMMYFUNCTION("""COMPUTED_VALUE"""),"Impact")</f>
        <v>Impact</v>
      </c>
      <c r="E78" s="180" t="str">
        <f ca="1">IFERROR(__xludf.DUMMYFUNCTION("""COMPUTED_VALUE"""),"Impact on people")</f>
        <v>Impact on people</v>
      </c>
      <c r="F78" s="180" t="str">
        <f ca="1">IFERROR(__xludf.DUMMYFUNCTION("""COMPUTED_VALUE"""),"% of HHs with housing / shelter damaged or destroyed due to violence, conflict or natural hazards")</f>
        <v>% of HHs with housing / shelter damaged or destroyed due to violence, conflict or natural hazards</v>
      </c>
      <c r="G78" s="180"/>
      <c r="H78" s="180"/>
      <c r="I78" s="180"/>
      <c r="J78" s="180"/>
      <c r="K78" s="181">
        <f ca="1">IFERROR(__xludf.DUMMYFUNCTION("""COMPUTED_VALUE"""),2)</f>
        <v>2</v>
      </c>
      <c r="L78" s="180" t="str">
        <f ca="1">IFERROR(__xludf.DUMMYFUNCTION("""COMPUTED_VALUE"""),"KI")</f>
        <v>KI</v>
      </c>
      <c r="M78" s="180" t="str">
        <f ca="1">IFERROR(__xludf.DUMMYFUNCTION("""COMPUTED_VALUE"""),"UNOSAT / SDR")</f>
        <v>UNOSAT / SDR</v>
      </c>
      <c r="N78" s="180" t="str">
        <f ca="1">IFERROR(__xludf.DUMMYFUNCTION("""COMPUTED_VALUE"""),"&lt; 30%")</f>
        <v>&lt; 30%</v>
      </c>
      <c r="O78" s="180" t="str">
        <f ca="1">IFERROR(__xludf.DUMMYFUNCTION("""COMPUTED_VALUE"""),"30% - 40%")</f>
        <v>30% - 40%</v>
      </c>
      <c r="P78" s="180" t="str">
        <f ca="1">IFERROR(__xludf.DUMMYFUNCTION("""COMPUTED_VALUE"""),"40% - 55%")</f>
        <v>40% - 55%</v>
      </c>
      <c r="Q78" s="180" t="str">
        <f ca="1">IFERROR(__xludf.DUMMYFUNCTION("""COMPUTED_VALUE"""),"55% - 70%")</f>
        <v>55% - 70%</v>
      </c>
      <c r="R78" s="180" t="str">
        <f ca="1">IFERROR(__xludf.DUMMYFUNCTION("""COMPUTED_VALUE"""),"&gt; 70%")</f>
        <v>&gt; 70%</v>
      </c>
      <c r="S78" s="180"/>
    </row>
    <row r="79" spans="1:19" ht="105" hidden="1" customHeight="1">
      <c r="A79" s="159">
        <f ca="1">IFERROR(__xludf.DUMMYFUNCTION("""COMPUTED_VALUE"""),74)</f>
        <v>74</v>
      </c>
      <c r="B79" s="180" t="str">
        <f ca="1">IFERROR(__xludf.DUMMYFUNCTION("""COMPUTED_VALUE"""),"Protection")</f>
        <v>Protection</v>
      </c>
      <c r="C79" s="180" t="str">
        <f ca="1">IFERROR(__xludf.DUMMYFUNCTION("""COMPUTED_VALUE"""),"HLP")</f>
        <v>HLP</v>
      </c>
      <c r="D79" s="180" t="str">
        <f ca="1">IFERROR(__xludf.DUMMYFUNCTION("""COMPUTED_VALUE"""),"Humanitarian Conditions")</f>
        <v>Humanitarian Conditions</v>
      </c>
      <c r="E79" s="180" t="str">
        <f ca="1">IFERROR(__xludf.DUMMYFUNCTION("""COMPUTED_VALUE"""),"Living Standards")</f>
        <v>Living Standards</v>
      </c>
      <c r="F79" s="180" t="str">
        <f ca="1">IFERROR(__xludf.DUMMYFUNCTION("""COMPUTED_VALUE"""),"% of HH reporting incidents of threaths of eviction")</f>
        <v>% of HH reporting incidents of threaths of eviction</v>
      </c>
      <c r="G79" s="180"/>
      <c r="H79" s="180"/>
      <c r="I79" s="180"/>
      <c r="J79" s="180"/>
      <c r="K79" s="181">
        <f ca="1">IFERROR(__xludf.DUMMYFUNCTION("""COMPUTED_VALUE"""),1)</f>
        <v>1</v>
      </c>
      <c r="L79" s="180" t="str">
        <f ca="1">IFERROR(__xludf.DUMMYFUNCTION("""COMPUTED_VALUE"""),"HH Survey / KI")</f>
        <v>HH Survey / KI</v>
      </c>
      <c r="M79" s="180" t="str">
        <f ca="1">IFERROR(__xludf.DUMMYFUNCTION("""COMPUTED_VALUE"""),"MSNA / Protection Monitoring")</f>
        <v>MSNA / Protection Monitoring</v>
      </c>
      <c r="N79" s="180" t="str">
        <f ca="1">IFERROR(__xludf.DUMMYFUNCTION("""COMPUTED_VALUE"""),"None")</f>
        <v>None</v>
      </c>
      <c r="O79" s="180" t="str">
        <f ca="1">IFERROR(__xludf.DUMMYFUNCTION("""COMPUTED_VALUE"""),"Threatened with eviction only once in the past six months, and were able to resolve (and stay) without resorting to negative coping mechanisms")</f>
        <v>Threatened with eviction only once in the past six months, and were able to resolve (and stay) without resorting to negative coping mechanisms</v>
      </c>
      <c r="P79" s="180" t="str">
        <f ca="1">IFERROR(__xludf.DUMMYFUNCTION("""COMPUTED_VALUE"""),"Threatened with eviction at least once and had to resort to negative coping mechanisms to avoid eviction
OR 
Threatened eviction more than once in the past six months but was not evicted")</f>
        <v>Threatened with eviction at least once and had to resort to negative coping mechanisms to avoid eviction
OR 
Threatened eviction more than once in the past six months but was not evicted</v>
      </c>
      <c r="Q79" s="180" t="str">
        <f ca="1">IFERROR(__xludf.DUMMYFUNCTION("""COMPUTED_VALUE"""),"Forcibly evicted /departed under duress at least once in the past 6 months, but were able to find housing immediately following eviction")</f>
        <v>Forcibly evicted /departed under duress at least once in the past 6 months, but were able to find housing immediately following eviction</v>
      </c>
      <c r="R79" s="180" t="str">
        <f ca="1">IFERROR(__xludf.DUMMYFUNCTION("""COMPUTED_VALUE"""),"Forcibly evicted /departed under duress at least once in the past 6 months, and did not have their own housing for more than one week following eviction")</f>
        <v>Forcibly evicted /departed under duress at least once in the past 6 months, and did not have their own housing for more than one week following eviction</v>
      </c>
      <c r="S79" s="180"/>
    </row>
    <row r="80" spans="1:19" ht="105" hidden="1" customHeight="1">
      <c r="A80" s="159">
        <f ca="1">IFERROR(__xludf.DUMMYFUNCTION("""COMPUTED_VALUE"""),75)</f>
        <v>75</v>
      </c>
      <c r="B80" s="180" t="str">
        <f ca="1">IFERROR(__xludf.DUMMYFUNCTION("""COMPUTED_VALUE"""),"Protection")</f>
        <v>Protection</v>
      </c>
      <c r="C80" s="180" t="str">
        <f ca="1">IFERROR(__xludf.DUMMYFUNCTION("""COMPUTED_VALUE"""),"HLP")</f>
        <v>HLP</v>
      </c>
      <c r="D80" s="180" t="str">
        <f ca="1">IFERROR(__xludf.DUMMYFUNCTION("""COMPUTED_VALUE"""),"Humanitarian Conditions")</f>
        <v>Humanitarian Conditions</v>
      </c>
      <c r="E80" s="180" t="str">
        <f ca="1">IFERROR(__xludf.DUMMYFUNCTION("""COMPUTED_VALUE"""),"Living Standards")</f>
        <v>Living Standards</v>
      </c>
      <c r="F80" s="180" t="str">
        <f ca="1">IFERROR(__xludf.DUMMYFUNCTION("""COMPUTED_VALUE"""),"% of household reporting HLP disputes")</f>
        <v>% of household reporting HLP disputes</v>
      </c>
      <c r="G80" s="180"/>
      <c r="H80" s="180"/>
      <c r="I80" s="180"/>
      <c r="J80" s="180"/>
      <c r="K80" s="181">
        <f ca="1">IFERROR(__xludf.DUMMYFUNCTION("""COMPUTED_VALUE"""),1)</f>
        <v>1</v>
      </c>
      <c r="L80" s="180" t="str">
        <f ca="1">IFERROR(__xludf.DUMMYFUNCTION("""COMPUTED_VALUE"""),"HH Survey / KI")</f>
        <v>HH Survey / KI</v>
      </c>
      <c r="M80" s="180" t="str">
        <f ca="1">IFERROR(__xludf.DUMMYFUNCTION("""COMPUTED_VALUE"""),"MSNA / Protection Monitoring")</f>
        <v>MSNA / Protection Monitoring</v>
      </c>
      <c r="N80" s="180" t="str">
        <f ca="1">IFERROR(__xludf.DUMMYFUNCTION("""COMPUTED_VALUE"""),"No disputes reported
Or dispute reported, but they are confident that they will be able to resolve directly with other party without intervention")</f>
        <v>No disputes reported
Or dispute reported, but they are confident that they will be able to resolve directly with other party without intervention</v>
      </c>
      <c r="O80" s="180" t="str">
        <f ca="1">IFERROR(__xludf.DUMMYFUNCTION("""COMPUTED_VALUE"""),"Dispute reported, but generally confident that they will be able to come to fair resolution with the support of a local governance institution")</f>
        <v>Dispute reported, but generally confident that they will be able to come to fair resolution with the support of a local governance institution</v>
      </c>
      <c r="P80" s="180" t="str">
        <f ca="1">IFERROR(__xludf.DUMMYFUNCTION("""COMPUTED_VALUE"""),"Dispute reported - lack confidence that they will be able to get fair resolution with support of a local governance institutions (either because of access or lack of trust)")</f>
        <v>Dispute reported - lack confidence that they will be able to get fair resolution with support of a local governance institutions (either because of access or lack of trust)</v>
      </c>
      <c r="Q80" s="180" t="str">
        <f ca="1">IFERROR(__xludf.DUMMYFUNCTION("""COMPUTED_VALUE"""),"Dispute reported with threats of violence - no confidence they will be able to resolve")</f>
        <v>Dispute reported with threats of violence - no confidence they will be able to resolve</v>
      </c>
      <c r="R80" s="180" t="str">
        <f ca="1">IFERROR(__xludf.DUMMYFUNCTION("""COMPUTED_VALUE"""),"Dispute reported - violence, displacement, etc, has taken place")</f>
        <v>Dispute reported - violence, displacement, etc, has taken place</v>
      </c>
      <c r="S80" s="180"/>
    </row>
    <row r="81" spans="1:19" ht="105" hidden="1" customHeight="1">
      <c r="A81" s="159">
        <f ca="1">IFERROR(__xludf.DUMMYFUNCTION("""COMPUTED_VALUE"""),76)</f>
        <v>76</v>
      </c>
      <c r="B81" s="180" t="str">
        <f ca="1">IFERROR(__xludf.DUMMYFUNCTION("""COMPUTED_VALUE"""),"Protection")</f>
        <v>Protection</v>
      </c>
      <c r="C81" s="180" t="str">
        <f ca="1">IFERROR(__xludf.DUMMYFUNCTION("""COMPUTED_VALUE"""),"HLP")</f>
        <v>HLP</v>
      </c>
      <c r="D81" s="180" t="str">
        <f ca="1">IFERROR(__xludf.DUMMYFUNCTION("""COMPUTED_VALUE"""),"Humanitarian Conditions")</f>
        <v>Humanitarian Conditions</v>
      </c>
      <c r="E81" s="180" t="str">
        <f ca="1">IFERROR(__xludf.DUMMYFUNCTION("""COMPUTED_VALUE"""),"Living Standards")</f>
        <v>Living Standards</v>
      </c>
      <c r="F81" s="180" t="str">
        <f ca="1">IFERROR(__xludf.DUMMYFUNCTION("""COMPUTED_VALUE"""),"% of households accessing their housing/shelter with security of tenure")</f>
        <v>% of households accessing their housing/shelter with security of tenure</v>
      </c>
      <c r="G81" s="180"/>
      <c r="H81" s="180"/>
      <c r="I81" s="180"/>
      <c r="J81" s="180"/>
      <c r="K81" s="181">
        <f ca="1">IFERROR(__xludf.DUMMYFUNCTION("""COMPUTED_VALUE"""),1)</f>
        <v>1</v>
      </c>
      <c r="L81" s="182" t="str">
        <f ca="1">IFERROR(__xludf.DUMMYFUNCTION("""COMPUTED_VALUE"""),"HH Survey / KI")</f>
        <v>HH Survey / KI</v>
      </c>
      <c r="M81" s="182" t="str">
        <f ca="1">IFERROR(__xludf.DUMMYFUNCTION("""COMPUTED_VALUE"""),"MSNA / Protection Monitoring")</f>
        <v>MSNA / Protection Monitoring</v>
      </c>
      <c r="N81" s="182" t="str">
        <f ca="1">IFERROR(__xludf.DUMMYFUNCTION("""COMPUTED_VALUE"""),"Owner of their house, with offical documentation in their name, and No risk of eviction")</f>
        <v>Owner of their house, with offical documentation in their name, and No risk of eviction</v>
      </c>
      <c r="O81" s="182" t="str">
        <f ca="1">IFERROR(__xludf.DUMMYFUNCTION("""COMPUTED_VALUE"""),"Owner of the house with no official documentation in their name but feels like their tenure is secure
OR
Renter of house with written contract, can renew contract if desired AND No risk of eviction
OR
Shelter granted by organisations/authorities with perm"&amp;"ission AND able to stay as long as needed/no risk of eviction
OR
Granted by relatives/family with permission AND able to stay as long as needed/no risk of eviction")</f>
        <v>Owner of the house with no official documentation in their name but feels like their tenure is secure
OR
Renter of house with written contract, can renew contract if desired AND No risk of eviction
OR
Shelter granted by organisations/authorities with permission AND able to stay as long as needed/no risk of eviction
OR
Granted by relatives/family with permission AND able to stay as long as needed/no risk of eviction</v>
      </c>
      <c r="P81" s="182" t="str">
        <f ca="1">IFERROR(__xludf.DUMMYFUNCTION("""COMPUTED_VALUE"""),"Owner of the house with or without document but feel like their tenure is not assured (risk to tenure is non-specific, just general lack of confidence)
OR
Renter without contract, but no apparent risk of eviction
OR
Granted by organisations/authorities wi"&amp;"th permission but stay is limited to a six month to a year term but no risk of eviction at the moment
OR
Granted by relatives/family with permission AND but stay is limited to a defined six month to a year term, but no risk of eviction at the moment
OR
Sq"&amp;"uatting without permission but no apparent risk of eviction at the moment
")</f>
        <v xml:space="preserve">Owner of the house with or without document but feel like their tenure is not assured (risk to tenure is non-specific, just general lack of confidence)
OR
Renter without contract, but no apparent risk of eviction
OR
Granted by organisations/authorities with permission but stay is limited to a six month to a year term but no risk of eviction at the moment
OR
Granted by relatives/family with permission AND but stay is limited to a defined six month to a year term, but no risk of eviction at the moment
OR
Squatting without permission but no apparent risk of eviction at the moment
</v>
      </c>
      <c r="Q81" s="182" t="str">
        <f ca="1">IFERROR(__xludf.DUMMYFUNCTION("""COMPUTED_VALUE"""),"Owner of the house with or without document but feel like their tenure is not assured (specific threat to tenure)
OR
Renter with or without rental contract, but will need to leave within 6 months even if they would prefer to stay
OR
Housing/Shelter grante"&amp;"d by organisations/authorities with permission, but will need to leave within 6 months even if they would like to stay
OR
Housing/Shelter granted by relatives/family with permission, but will need to leave within 6 months even if they would like to stay
O"&amp;"R
Squatting without permission, but will need to leave within 6 months even if they would like to stay")</f>
        <v>Owner of the house with or without document but feel like their tenure is not assured (specific threat to tenure)
OR
Renter with or without rental contract, but will need to leave within 6 months even if they would prefer to stay
OR
Housing/Shelter granted by organisations/authorities with permission, but will need to leave within 6 months even if they would like to stay
OR
Housing/Shelter granted by relatives/family with permission, but will need to leave within 6 months even if they would like to stay
OR
Squatting without permission, but will need to leave within 6 months even if they would like to stay</v>
      </c>
      <c r="R81" s="182" t="str">
        <f ca="1">IFERROR(__xludf.DUMMYFUNCTION("""COMPUTED_VALUE"""),"Owner of the house with or without document but feel explusion is imminent (under 3 months)
OR
Renter with or without rental contract, but eviction/departure under duress is imminent (under 3 months)
OR
Housing/Shelter granted by organisations/authorities"&amp;" with permission, but eviction/departure under duress is imminent (under 3 months)
OR
Housing/Shelter granted by relatives/family with permission, but eviction/departure under duress is imminent (under 3 months)
OR
Squatting without permission, but evicti"&amp;"on/departure under duress is imminent (under 3 months)")</f>
        <v>Owner of the house with or without document but feel explusion is imminent (under 3 months)
OR
Renter with or without rental contract, but eviction/departure under duress is imminent (under 3 months)
OR
Housing/Shelter granted by organisations/authorities with permission, but eviction/departure under duress is imminent (under 3 months)
OR
Housing/Shelter granted by relatives/family with permission, but eviction/departure under duress is imminent (under 3 months)
OR
Squatting without permission, but eviction/departure under duress is imminent (under 3 months)</v>
      </c>
      <c r="S81" s="180"/>
    </row>
    <row r="82" spans="1:19" ht="105" hidden="1" customHeight="1">
      <c r="A82" s="159">
        <f ca="1">IFERROR(__xludf.DUMMYFUNCTION("""COMPUTED_VALUE"""),77)</f>
        <v>77</v>
      </c>
      <c r="B82" s="180" t="str">
        <f ca="1">IFERROR(__xludf.DUMMYFUNCTION("""COMPUTED_VALUE"""),"Protection")</f>
        <v>Protection</v>
      </c>
      <c r="C82" s="180" t="str">
        <f ca="1">IFERROR(__xludf.DUMMYFUNCTION("""COMPUTED_VALUE"""),"HLP / MA")</f>
        <v>HLP / MA</v>
      </c>
      <c r="D82" s="180" t="str">
        <f ca="1">IFERROR(__xludf.DUMMYFUNCTION("""COMPUTED_VALUE"""),"Humanitarian Conditions")</f>
        <v>Humanitarian Conditions</v>
      </c>
      <c r="E82" s="180" t="str">
        <f ca="1">IFERROR(__xludf.DUMMYFUNCTION("""COMPUTED_VALUE"""),"Living Standards")</f>
        <v>Living Standards</v>
      </c>
      <c r="F82" s="180" t="str">
        <f ca="1">IFERROR(__xludf.DUMMYFUNCTION("""COMPUTED_VALUE"""),"% of households without access to land or resources for their livelihoods")</f>
        <v>% of households without access to land or resources for their livelihoods</v>
      </c>
      <c r="G82" s="180"/>
      <c r="H82" s="180"/>
      <c r="I82" s="180"/>
      <c r="J82" s="180"/>
      <c r="K82" s="181">
        <f ca="1">IFERROR(__xludf.DUMMYFUNCTION("""COMPUTED_VALUE"""),1)</f>
        <v>1</v>
      </c>
      <c r="L82" s="180" t="str">
        <f ca="1">IFERROR(__xludf.DUMMYFUNCTION("""COMPUTED_VALUE"""),"HH Survey / KI")</f>
        <v>HH Survey / KI</v>
      </c>
      <c r="M82" s="180" t="str">
        <f ca="1">IFERROR(__xludf.DUMMYFUNCTION("""COMPUTED_VALUE"""),"MSNA / Protection Monitoring")</f>
        <v>MSNA / Protection Monitoring</v>
      </c>
      <c r="N82" s="180" t="str">
        <f ca="1">IFERROR(__xludf.DUMMYFUNCTION("""COMPUTED_VALUE"""),"Access with confidence of long term usage (adapt to context and livelihood type) without infringement")</f>
        <v>Access with confidence of long term usage (adapt to context and livelihood type) without infringement</v>
      </c>
      <c r="O82" s="180" t="str">
        <f ca="1">IFERROR(__xludf.DUMMYFUNCTION("""COMPUTED_VALUE"""),"Access for defined short term period of time (adapt to context and livelihood type). Confident that access and use during that time will be uninfringed")</f>
        <v>Access for defined short term period of time (adapt to context and livelihood type). Confident that access and use during that time will be uninfringed</v>
      </c>
      <c r="P82" s="180" t="str">
        <f ca="1">IFERROR(__xludf.DUMMYFUNCTION("""COMPUTED_VALUE"""),"Access with limited confidence on ability to use for any continous period of time - percieve potential risk of infringement")</f>
        <v>Access with limited confidence on ability to use for any continous period of time - percieve potential risk of infringement</v>
      </c>
      <c r="Q82" s="180" t="str">
        <f ca="1">IFERROR(__xludf.DUMMYFUNCTION("""COMPUTED_VALUE"""),"Access or use explicitly threatened by another party - loss of access imminent (before a harvest, or before new pasture can be found)")</f>
        <v>Access or use explicitly threatened by another party - loss of access imminent (before a harvest, or before new pasture can be found)</v>
      </c>
      <c r="R82" s="180" t="str">
        <f ca="1">IFERROR(__xludf.DUMMYFUNCTION("""COMPUTED_VALUE"""),"Access or use impeded to land or resource or evidence that livelihood resource acutally damaged or destroyed")</f>
        <v>Access or use impeded to land or resource or evidence that livelihood resource acutally damaged or destroyed</v>
      </c>
      <c r="S82" s="180"/>
    </row>
    <row r="83" spans="1:19" ht="105" hidden="1" customHeight="1">
      <c r="A83" s="159">
        <f ca="1">IFERROR(__xludf.DUMMYFUNCTION("""COMPUTED_VALUE"""),78)</f>
        <v>78</v>
      </c>
      <c r="B83" s="180" t="str">
        <f ca="1">IFERROR(__xludf.DUMMYFUNCTION("""COMPUTED_VALUE"""),"Protection")</f>
        <v>Protection</v>
      </c>
      <c r="C83" s="180" t="str">
        <f ca="1">IFERROR(__xludf.DUMMYFUNCTION("""COMPUTED_VALUE"""),"MA")</f>
        <v>MA</v>
      </c>
      <c r="D83" s="180" t="str">
        <f ca="1">IFERROR(__xludf.DUMMYFUNCTION("""COMPUTED_VALUE"""),"Humanitarian Conditions")</f>
        <v>Humanitarian Conditions</v>
      </c>
      <c r="E83" s="180" t="str">
        <f ca="1">IFERROR(__xludf.DUMMYFUNCTION("""COMPUTED_VALUE"""),"Living Standards")</f>
        <v>Living Standards</v>
      </c>
      <c r="F83" s="180" t="str">
        <f ca="1">IFERROR(__xludf.DUMMYFUNCTION("""COMPUTED_VALUE"""),"% of persons (SADD) in sites/communities reporting presence of EO without access to risk education")</f>
        <v>% of persons (SADD) in sites/communities reporting presence of EO without access to risk education</v>
      </c>
      <c r="G83" s="180"/>
      <c r="H83" s="180"/>
      <c r="I83" s="180"/>
      <c r="J83" s="180"/>
      <c r="K83" s="181">
        <f ca="1">IFERROR(__xludf.DUMMYFUNCTION("""COMPUTED_VALUE"""),1)</f>
        <v>1</v>
      </c>
      <c r="L83" s="180" t="str">
        <f ca="1">IFERROR(__xludf.DUMMYFUNCTION("""COMPUTED_VALUE"""),"KI")</f>
        <v>KI</v>
      </c>
      <c r="M83" s="180" t="str">
        <f ca="1">IFERROR(__xludf.DUMMYFUNCTION("""COMPUTED_VALUE"""),"Protection Monitoring / Service mapping")</f>
        <v>Protection Monitoring / Service mapping</v>
      </c>
      <c r="N83" s="180" t="str">
        <f ca="1">IFERROR(__xludf.DUMMYFUNCTION("""COMPUTED_VALUE"""),"&lt; 20%")</f>
        <v>&lt; 20%</v>
      </c>
      <c r="O83" s="180" t="str">
        <f ca="1">IFERROR(__xludf.DUMMYFUNCTION("""COMPUTED_VALUE"""),"20% - 30%")</f>
        <v>20% - 30%</v>
      </c>
      <c r="P83" s="180" t="str">
        <f ca="1">IFERROR(__xludf.DUMMYFUNCTION("""COMPUTED_VALUE"""),"30% - 40%")</f>
        <v>30% - 40%</v>
      </c>
      <c r="Q83" s="180" t="str">
        <f ca="1">IFERROR(__xludf.DUMMYFUNCTION("""COMPUTED_VALUE"""),"40% - 50%")</f>
        <v>40% - 50%</v>
      </c>
      <c r="R83" s="180" t="str">
        <f ca="1">IFERROR(__xludf.DUMMYFUNCTION("""COMPUTED_VALUE"""),"&gt; 50%")</f>
        <v>&gt; 50%</v>
      </c>
      <c r="S83" s="180"/>
    </row>
    <row r="84" spans="1:19" ht="105" hidden="1" customHeight="1">
      <c r="A84" s="159">
        <f ca="1">IFERROR(__xludf.DUMMYFUNCTION("""COMPUTED_VALUE"""),79)</f>
        <v>79</v>
      </c>
      <c r="B84" s="180" t="str">
        <f ca="1">IFERROR(__xludf.DUMMYFUNCTION("""COMPUTED_VALUE"""),"Protection")</f>
        <v>Protection</v>
      </c>
      <c r="C84" s="180" t="str">
        <f ca="1">IFERROR(__xludf.DUMMYFUNCTION("""COMPUTED_VALUE"""),"MA")</f>
        <v>MA</v>
      </c>
      <c r="D84" s="180" t="str">
        <f ca="1">IFERROR(__xludf.DUMMYFUNCTION("""COMPUTED_VALUE"""),"Humanitarian Conditions")</f>
        <v>Humanitarian Conditions</v>
      </c>
      <c r="E84" s="180" t="str">
        <f ca="1">IFERROR(__xludf.DUMMYFUNCTION("""COMPUTED_VALUE"""),"Living Standards")</f>
        <v>Living Standards</v>
      </c>
      <c r="F84" s="180" t="str">
        <f ca="1">IFERROR(__xludf.DUMMYFUNCTION("""COMPUTED_VALUE"""),"% of persons (SADD) who have reduced access to land, resources or livelihood due to EO contamination")</f>
        <v>% of persons (SADD) who have reduced access to land, resources or livelihood due to EO contamination</v>
      </c>
      <c r="G84" s="180"/>
      <c r="H84" s="180"/>
      <c r="I84" s="180"/>
      <c r="J84" s="180"/>
      <c r="K84" s="181">
        <f ca="1">IFERROR(__xludf.DUMMYFUNCTION("""COMPUTED_VALUE"""),2)</f>
        <v>2</v>
      </c>
      <c r="L84" s="180" t="str">
        <f ca="1">IFERROR(__xludf.DUMMYFUNCTION("""COMPUTED_VALUE"""),"HH Survey / KI")</f>
        <v>HH Survey / KI</v>
      </c>
      <c r="M84" s="180" t="str">
        <f ca="1">IFERROR(__xludf.DUMMYFUNCTION("""COMPUTED_VALUE"""),"MSNA / Protection Monitoring")</f>
        <v>MSNA / Protection Monitoring</v>
      </c>
      <c r="N84" s="180" t="str">
        <f ca="1">IFERROR(__xludf.DUMMYFUNCTION("""COMPUTED_VALUE"""),"&lt; 20%")</f>
        <v>&lt; 20%</v>
      </c>
      <c r="O84" s="180" t="str">
        <f ca="1">IFERROR(__xludf.DUMMYFUNCTION("""COMPUTED_VALUE"""),"20-40%")</f>
        <v>20-40%</v>
      </c>
      <c r="P84" s="180" t="str">
        <f ca="1">IFERROR(__xludf.DUMMYFUNCTION("""COMPUTED_VALUE"""),"40-60%")</f>
        <v>40-60%</v>
      </c>
      <c r="Q84" s="180" t="str">
        <f ca="1">IFERROR(__xludf.DUMMYFUNCTION("""COMPUTED_VALUE"""),"60-80%")</f>
        <v>60-80%</v>
      </c>
      <c r="R84" s="180" t="str">
        <f ca="1">IFERROR(__xludf.DUMMYFUNCTION("""COMPUTED_VALUE"""),"80% &gt;")</f>
        <v>80% &gt;</v>
      </c>
      <c r="S84" s="180"/>
    </row>
    <row r="85" spans="1:19" ht="105" hidden="1" customHeight="1">
      <c r="A85" s="159">
        <f ca="1">IFERROR(__xludf.DUMMYFUNCTION("""COMPUTED_VALUE"""),80)</f>
        <v>80</v>
      </c>
      <c r="B85" s="180" t="str">
        <f ca="1">IFERROR(__xludf.DUMMYFUNCTION("""COMPUTED_VALUE"""),"Protection")</f>
        <v>Protection</v>
      </c>
      <c r="C85" s="180" t="str">
        <f ca="1">IFERROR(__xludf.DUMMYFUNCTION("""COMPUTED_VALUE"""),"MA")</f>
        <v>MA</v>
      </c>
      <c r="D85" s="180" t="str">
        <f ca="1">IFERROR(__xludf.DUMMYFUNCTION("""COMPUTED_VALUE"""),"Humanitarian Conditions")</f>
        <v>Humanitarian Conditions</v>
      </c>
      <c r="E85" s="180" t="str">
        <f ca="1">IFERROR(__xludf.DUMMYFUNCTION("""COMPUTED_VALUE"""),"Living Standards")</f>
        <v>Living Standards</v>
      </c>
      <c r="F85" s="180" t="str">
        <f ca="1">IFERROR(__xludf.DUMMYFUNCTION("""COMPUTED_VALUE"""),"% of persons (SADD) without access to core Victims Assistance services by community")</f>
        <v>% of persons (SADD) without access to core Victims Assistance services by community</v>
      </c>
      <c r="G85" s="180"/>
      <c r="H85" s="180"/>
      <c r="I85" s="180"/>
      <c r="J85" s="180"/>
      <c r="K85" s="181">
        <f ca="1">IFERROR(__xludf.DUMMYFUNCTION("""COMPUTED_VALUE"""),2)</f>
        <v>2</v>
      </c>
      <c r="L85" s="180" t="str">
        <f ca="1">IFERROR(__xludf.DUMMYFUNCTION("""COMPUTED_VALUE"""),"KI")</f>
        <v>KI</v>
      </c>
      <c r="M85" s="180" t="str">
        <f ca="1">IFERROR(__xludf.DUMMYFUNCTION("""COMPUTED_VALUE"""),"Protection Monitoring / Service mapping")</f>
        <v>Protection Monitoring / Service mapping</v>
      </c>
      <c r="N85" s="180" t="str">
        <f ca="1">IFERROR(__xludf.DUMMYFUNCTION("""COMPUTED_VALUE"""),"&lt; 20%")</f>
        <v>&lt; 20%</v>
      </c>
      <c r="O85" s="180" t="str">
        <f ca="1">IFERROR(__xludf.DUMMYFUNCTION("""COMPUTED_VALUE"""),"20% - 30%")</f>
        <v>20% - 30%</v>
      </c>
      <c r="P85" s="180" t="str">
        <f ca="1">IFERROR(__xludf.DUMMYFUNCTION("""COMPUTED_VALUE"""),"30% - 40%")</f>
        <v>30% - 40%</v>
      </c>
      <c r="Q85" s="180" t="str">
        <f ca="1">IFERROR(__xludf.DUMMYFUNCTION("""COMPUTED_VALUE"""),"40% - 50%")</f>
        <v>40% - 50%</v>
      </c>
      <c r="R85" s="180" t="str">
        <f ca="1">IFERROR(__xludf.DUMMYFUNCTION("""COMPUTED_VALUE"""),"&gt; 50%")</f>
        <v>&gt; 50%</v>
      </c>
      <c r="S85" s="180"/>
    </row>
    <row r="86" spans="1:19" ht="105" hidden="1" customHeight="1">
      <c r="A86" s="159">
        <f ca="1">IFERROR(__xludf.DUMMYFUNCTION("""COMPUTED_VALUE"""),81)</f>
        <v>81</v>
      </c>
      <c r="B86" s="180" t="str">
        <f ca="1">IFERROR(__xludf.DUMMYFUNCTION("""COMPUTED_VALUE"""),"Protection")</f>
        <v>Protection</v>
      </c>
      <c r="C86" s="180" t="str">
        <f ca="1">IFERROR(__xludf.DUMMYFUNCTION("""COMPUTED_VALUE"""),"MA")</f>
        <v>MA</v>
      </c>
      <c r="D86" s="180" t="str">
        <f ca="1">IFERROR(__xludf.DUMMYFUNCTION("""COMPUTED_VALUE"""),"Humanitarian Conditions")</f>
        <v>Humanitarian Conditions</v>
      </c>
      <c r="E86" s="180" t="str">
        <f ca="1">IFERROR(__xludf.DUMMYFUNCTION("""COMPUTED_VALUE"""),"Physical and Mental Wellbeing")</f>
        <v>Physical and Mental Wellbeing</v>
      </c>
      <c r="F86" s="180" t="str">
        <f ca="1">IFERROR(__xludf.DUMMYFUNCTION("""COMPUTED_VALUE"""),"Persons killed or injured by EO by community (SADD)")</f>
        <v>Persons killed or injured by EO by community (SADD)</v>
      </c>
      <c r="G86" s="180"/>
      <c r="H86" s="180"/>
      <c r="I86" s="180"/>
      <c r="J86" s="180"/>
      <c r="K86" s="181">
        <f ca="1">IFERROR(__xludf.DUMMYFUNCTION("""COMPUTED_VALUE"""),1)</f>
        <v>1</v>
      </c>
      <c r="L86" s="180" t="str">
        <f ca="1">IFERROR(__xludf.DUMMYFUNCTION("""COMPUTED_VALUE"""),"KI")</f>
        <v>KI</v>
      </c>
      <c r="M86" s="180" t="str">
        <f ca="1">IFERROR(__xludf.DUMMYFUNCTION("""COMPUTED_VALUE"""),"MA IM Systems")</f>
        <v>MA IM Systems</v>
      </c>
      <c r="N86" s="180"/>
      <c r="O86" s="180"/>
      <c r="P86" s="180"/>
      <c r="Q86" s="180"/>
      <c r="R86" s="180"/>
      <c r="S86" s="180"/>
    </row>
    <row r="87" spans="1:19" ht="105" hidden="1" customHeight="1">
      <c r="A87" s="159">
        <f ca="1">IFERROR(__xludf.DUMMYFUNCTION("""COMPUTED_VALUE"""),82)</f>
        <v>82</v>
      </c>
      <c r="B87" s="180" t="str">
        <f ca="1">IFERROR(__xludf.DUMMYFUNCTION("""COMPUTED_VALUE"""),"Protection")</f>
        <v>Protection</v>
      </c>
      <c r="C87" s="180" t="str">
        <f ca="1">IFERROR(__xludf.DUMMYFUNCTION("""COMPUTED_VALUE"""),"MA")</f>
        <v>MA</v>
      </c>
      <c r="D87" s="180" t="str">
        <f ca="1">IFERROR(__xludf.DUMMYFUNCTION("""COMPUTED_VALUE"""),"Humanitarian Conditions")</f>
        <v>Humanitarian Conditions</v>
      </c>
      <c r="E87" s="180" t="str">
        <f ca="1">IFERROR(__xludf.DUMMYFUNCTION("""COMPUTED_VALUE"""),"Physical and Mental Wellbeing")</f>
        <v>Physical and Mental Wellbeing</v>
      </c>
      <c r="F87" s="180" t="str">
        <f ca="1">IFERROR(__xludf.DUMMYFUNCTION("""COMPUTED_VALUE"""),"Persons living or returning to areas with EO contamination (SADD)")</f>
        <v>Persons living or returning to areas with EO contamination (SADD)</v>
      </c>
      <c r="G87" s="180"/>
      <c r="H87" s="180"/>
      <c r="I87" s="180"/>
      <c r="J87" s="180"/>
      <c r="K87" s="181">
        <f ca="1">IFERROR(__xludf.DUMMYFUNCTION("""COMPUTED_VALUE"""),1)</f>
        <v>1</v>
      </c>
      <c r="L87" s="180" t="str">
        <f ca="1">IFERROR(__xludf.DUMMYFUNCTION("""COMPUTED_VALUE"""),"KI")</f>
        <v>KI</v>
      </c>
      <c r="M87" s="180" t="str">
        <f ca="1">IFERROR(__xludf.DUMMYFUNCTION("""COMPUTED_VALUE"""),"MA IM Systems")</f>
        <v>MA IM Systems</v>
      </c>
      <c r="N87" s="180" t="str">
        <f ca="1">IFERROR(__xludf.DUMMYFUNCTION("""COMPUTED_VALUE"""),"&lt;5%")</f>
        <v>&lt;5%</v>
      </c>
      <c r="O87" s="180" t="str">
        <f ca="1">IFERROR(__xludf.DUMMYFUNCTION("""COMPUTED_VALUE"""),"5-10%")</f>
        <v>5-10%</v>
      </c>
      <c r="P87" s="180" t="str">
        <f ca="1">IFERROR(__xludf.DUMMYFUNCTION("""COMPUTED_VALUE"""),"11 to 20 %")</f>
        <v>11 to 20 %</v>
      </c>
      <c r="Q87" s="180" t="str">
        <f ca="1">IFERROR(__xludf.DUMMYFUNCTION("""COMPUTED_VALUE"""),"21-30 %")</f>
        <v>21-30 %</v>
      </c>
      <c r="R87" s="180" t="str">
        <f ca="1">IFERROR(__xludf.DUMMYFUNCTION("""COMPUTED_VALUE"""),"Above 30 %")</f>
        <v>Above 30 %</v>
      </c>
      <c r="S87" s="180"/>
    </row>
    <row r="88" spans="1:19" ht="105" hidden="1" customHeight="1">
      <c r="A88" s="159">
        <f ca="1">IFERROR(__xludf.DUMMYFUNCTION("""COMPUTED_VALUE"""),83)</f>
        <v>83</v>
      </c>
      <c r="B88" s="180" t="str">
        <f ca="1">IFERROR(__xludf.DUMMYFUNCTION("""COMPUTED_VALUE"""),"Protection")</f>
        <v>Protection</v>
      </c>
      <c r="C88" s="180" t="str">
        <f ca="1">IFERROR(__xludf.DUMMYFUNCTION("""COMPUTED_VALUE"""),"MA")</f>
        <v>MA</v>
      </c>
      <c r="D88" s="180" t="str">
        <f ca="1">IFERROR(__xludf.DUMMYFUNCTION("""COMPUTED_VALUE"""),"Humanitarian Conditions")</f>
        <v>Humanitarian Conditions</v>
      </c>
      <c r="E88" s="180" t="str">
        <f ca="1">IFERROR(__xludf.DUMMYFUNCTION("""COMPUTED_VALUE"""),"Physical and Mental Wellbeing")</f>
        <v>Physical and Mental Wellbeing</v>
      </c>
      <c r="F88" s="180" t="str">
        <f ca="1">IFERROR(__xludf.DUMMYFUNCTION("""COMPUTED_VALUE"""),"% of persons (SADD) fearing presence of EO")</f>
        <v>% of persons (SADD) fearing presence of EO</v>
      </c>
      <c r="G88" s="180"/>
      <c r="H88" s="180"/>
      <c r="I88" s="180"/>
      <c r="J88" s="180"/>
      <c r="K88" s="181">
        <f ca="1">IFERROR(__xludf.DUMMYFUNCTION("""COMPUTED_VALUE"""),2)</f>
        <v>2</v>
      </c>
      <c r="L88" s="180" t="str">
        <f ca="1">IFERROR(__xludf.DUMMYFUNCTION("""COMPUTED_VALUE"""),"HH Survey / KI")</f>
        <v>HH Survey / KI</v>
      </c>
      <c r="M88" s="180" t="str">
        <f ca="1">IFERROR(__xludf.DUMMYFUNCTION("""COMPUTED_VALUE"""),"MSNA / Protection Monitoring")</f>
        <v>MSNA / Protection Monitoring</v>
      </c>
      <c r="N88" s="180" t="str">
        <f ca="1">IFERROR(__xludf.DUMMYFUNCTION("""COMPUTED_VALUE"""),"&lt;5%")</f>
        <v>&lt;5%</v>
      </c>
      <c r="O88" s="180" t="str">
        <f ca="1">IFERROR(__xludf.DUMMYFUNCTION("""COMPUTED_VALUE"""),"5-10%")</f>
        <v>5-10%</v>
      </c>
      <c r="P88" s="180" t="str">
        <f ca="1">IFERROR(__xludf.DUMMYFUNCTION("""COMPUTED_VALUE"""),"11 to 20 %")</f>
        <v>11 to 20 %</v>
      </c>
      <c r="Q88" s="180" t="str">
        <f ca="1">IFERROR(__xludf.DUMMYFUNCTION("""COMPUTED_VALUE"""),"21-30 %")</f>
        <v>21-30 %</v>
      </c>
      <c r="R88" s="180" t="str">
        <f ca="1">IFERROR(__xludf.DUMMYFUNCTION("""COMPUTED_VALUE"""),"Above 30 %")</f>
        <v>Above 30 %</v>
      </c>
      <c r="S88" s="180"/>
    </row>
    <row r="89" spans="1:19" ht="105" hidden="1" customHeight="1">
      <c r="A89" s="159">
        <f ca="1">IFERROR(__xludf.DUMMYFUNCTION("""COMPUTED_VALUE"""),84)</f>
        <v>84</v>
      </c>
      <c r="B89" s="180" t="str">
        <f ca="1">IFERROR(__xludf.DUMMYFUNCTION("""COMPUTED_VALUE"""),"Protection")</f>
        <v>Protection</v>
      </c>
      <c r="C89" s="180" t="str">
        <f ca="1">IFERROR(__xludf.DUMMYFUNCTION("""COMPUTED_VALUE"""),"MA")</f>
        <v>MA</v>
      </c>
      <c r="D89" s="180" t="str">
        <f ca="1">IFERROR(__xludf.DUMMYFUNCTION("""COMPUTED_VALUE"""),"Humanitarian Conditions")</f>
        <v>Humanitarian Conditions</v>
      </c>
      <c r="E89" s="180" t="str">
        <f ca="1">IFERROR(__xludf.DUMMYFUNCTION("""COMPUTED_VALUE"""),"Physical and Mental Wellbeing")</f>
        <v>Physical and Mental Wellbeing</v>
      </c>
      <c r="F89" s="180" t="str">
        <f ca="1">IFERROR(__xludf.DUMMYFUNCTION("""COMPUTED_VALUE"""),"% of persons whose disability is related to an explosive hazard by community (SADD)")</f>
        <v>% of persons whose disability is related to an explosive hazard by community (SADD)</v>
      </c>
      <c r="G89" s="180"/>
      <c r="H89" s="180"/>
      <c r="I89" s="180"/>
      <c r="J89" s="180"/>
      <c r="K89" s="181">
        <f ca="1">IFERROR(__xludf.DUMMYFUNCTION("""COMPUTED_VALUE"""),1)</f>
        <v>1</v>
      </c>
      <c r="L89" s="180" t="str">
        <f ca="1">IFERROR(__xludf.DUMMYFUNCTION("""COMPUTED_VALUE"""),"HH Survey / KI")</f>
        <v>HH Survey / KI</v>
      </c>
      <c r="M89" s="180" t="str">
        <f ca="1">IFERROR(__xludf.DUMMYFUNCTION("""COMPUTED_VALUE"""),"MSNA / Protection Monitoring")</f>
        <v>MSNA / Protection Monitoring</v>
      </c>
      <c r="N89" s="180" t="str">
        <f ca="1">IFERROR(__xludf.DUMMYFUNCTION("""COMPUTED_VALUE"""),"No explosive ordnance
disability in the HH")</f>
        <v>No explosive ordnance
disability in the HH</v>
      </c>
      <c r="O89" s="180" t="str">
        <f ca="1">IFERROR(__xludf.DUMMYFUNCTION("""COMPUTED_VALUE"""),"No explosive ordnance
disability in the HH")</f>
        <v>No explosive ordnance
disability in the HH</v>
      </c>
      <c r="P89" s="180" t="str">
        <f ca="1">IFERROR(__xludf.DUMMYFUNCTION("""COMPUTED_VALUE"""),"No explosive ordnance
disability in the HH")</f>
        <v>No explosive ordnance
disability in the HH</v>
      </c>
      <c r="Q89" s="180" t="str">
        <f ca="1">IFERROR(__xludf.DUMMYFUNCTION("""COMPUTED_VALUE"""),"HH member has disability with
a (a lot of difficulty) due to
explosive ordnance")</f>
        <v>HH member has disability with
a (a lot of difficulty) due to
explosive ordnance</v>
      </c>
      <c r="R89" s="180" t="str">
        <f ca="1">IFERROR(__xludf.DUMMYFUNCTION("""COMPUTED_VALUE"""),"HH member has disability with
(cannot do at all) due to
explosive ordnance")</f>
        <v>HH member has disability with
(cannot do at all) due to
explosive ordnance</v>
      </c>
      <c r="S89" s="180"/>
    </row>
    <row r="90" spans="1:19" ht="105" hidden="1" customHeight="1">
      <c r="A90" s="159">
        <f ca="1">IFERROR(__xludf.DUMMYFUNCTION("""COMPUTED_VALUE"""),85)</f>
        <v>85</v>
      </c>
      <c r="B90" s="180" t="str">
        <f ca="1">IFERROR(__xludf.DUMMYFUNCTION("""COMPUTED_VALUE"""),"Protection")</f>
        <v>Protection</v>
      </c>
      <c r="C90" s="180" t="str">
        <f ca="1">IFERROR(__xludf.DUMMYFUNCTION("""COMPUTED_VALUE"""),"MHPSS / CP / GBV")</f>
        <v>MHPSS / CP / GBV</v>
      </c>
      <c r="D90" s="180" t="str">
        <f ca="1">IFERROR(__xludf.DUMMYFUNCTION("""COMPUTED_VALUE"""),"Humanitarian Conditions")</f>
        <v>Humanitarian Conditions</v>
      </c>
      <c r="E90" s="180" t="str">
        <f ca="1">IFERROR(__xludf.DUMMYFUNCTION("""COMPUTED_VALUE"""),"Physical and Mental Wellbeing")</f>
        <v>Physical and Mental Wellbeing</v>
      </c>
      <c r="F90" s="180" t="str">
        <f ca="1">IFERROR(__xludf.DUMMYFUNCTION("""COMPUTED_VALUE"""),"% of HH where at least one member (SADD) is reporting signs of distress (self-diagnosed)")</f>
        <v>% of HH where at least one member (SADD) is reporting signs of distress (self-diagnosed)</v>
      </c>
      <c r="G90" s="180"/>
      <c r="H90" s="180"/>
      <c r="I90" s="180"/>
      <c r="J90" s="180"/>
      <c r="K90" s="181">
        <f ca="1">IFERROR(__xludf.DUMMYFUNCTION("""COMPUTED_VALUE"""),1)</f>
        <v>1</v>
      </c>
      <c r="L90" s="180" t="str">
        <f ca="1">IFERROR(__xludf.DUMMYFUNCTION("""COMPUTED_VALUE"""),"HH Survey / KI")</f>
        <v>HH Survey / KI</v>
      </c>
      <c r="M90" s="180" t="str">
        <f ca="1">IFERROR(__xludf.DUMMYFUNCTION("""COMPUTED_VALUE"""),"MSNA / Protection Monitoring")</f>
        <v>MSNA / Protection Monitoring</v>
      </c>
      <c r="N90" s="180"/>
      <c r="O90" s="180"/>
      <c r="P90" s="180"/>
      <c r="Q90" s="180"/>
      <c r="R90" s="180"/>
      <c r="S90" s="180"/>
    </row>
    <row r="91" spans="1:19" ht="105" hidden="1" customHeight="1">
      <c r="A91" s="159">
        <f ca="1">IFERROR(__xludf.DUMMYFUNCTION("""COMPUTED_VALUE"""),86)</f>
        <v>86</v>
      </c>
      <c r="B91" s="180" t="str">
        <f ca="1">IFERROR(__xludf.DUMMYFUNCTION("""COMPUTED_VALUE"""),"Protection")</f>
        <v>Protection</v>
      </c>
      <c r="C91" s="180" t="str">
        <f ca="1">IFERROR(__xludf.DUMMYFUNCTION("""COMPUTED_VALUE"""),"Protection")</f>
        <v>Protection</v>
      </c>
      <c r="D91" s="180" t="str">
        <f ca="1">IFERROR(__xludf.DUMMYFUNCTION("""COMPUTED_VALUE"""),"Humanitarian Conditions")</f>
        <v>Humanitarian Conditions</v>
      </c>
      <c r="E91" s="180" t="str">
        <f ca="1">IFERROR(__xludf.DUMMYFUNCTION("""COMPUTED_VALUE"""),"Coping Mechanisms")</f>
        <v>Coping Mechanisms</v>
      </c>
      <c r="F91" s="180" t="str">
        <f ca="1">IFERROR(__xludf.DUMMYFUNCTION("""COMPUTED_VALUE"""),"% of HHs engaging in harmful coping mechanisms in the last 30 days")</f>
        <v>% of HHs engaging in harmful coping mechanisms in the last 30 days</v>
      </c>
      <c r="G91" s="180"/>
      <c r="H91" s="180"/>
      <c r="I91" s="180"/>
      <c r="J91" s="180"/>
      <c r="K91" s="181">
        <f ca="1">IFERROR(__xludf.DUMMYFUNCTION("""COMPUTED_VALUE"""),1)</f>
        <v>1</v>
      </c>
      <c r="L91" s="180" t="str">
        <f ca="1">IFERROR(__xludf.DUMMYFUNCTION("""COMPUTED_VALUE"""),"HH Survey")</f>
        <v>HH Survey</v>
      </c>
      <c r="M91" s="180" t="str">
        <f ca="1">IFERROR(__xludf.DUMMYFUNCTION("""COMPUTED_VALUE"""),"MSNA / Protection Monitoring")</f>
        <v>MSNA / Protection Monitoring</v>
      </c>
      <c r="N91" s="180" t="str">
        <f ca="1">IFERROR(__xludf.DUMMYFUNCTION("""COMPUTED_VALUE"""),"No harmful coping strategy")</f>
        <v>No harmful coping strategy</v>
      </c>
      <c r="O91" s="180" t="str">
        <f ca="1">IFERROR(__xludf.DUMMYFUNCTION("""COMPUTED_VALUE"""),"No harmful coping strategy")</f>
        <v>No harmful coping strategy</v>
      </c>
      <c r="P91" s="180" t="str">
        <f ca="1">IFERROR(__xludf.DUMMYFUNCTION("""COMPUTED_VALUE"""),"selected: Selling household
property; Buying food on credit;
Borrowing money through
friends and relatives; Reducing
expenditures on NFI")</f>
        <v>selected: Selling household
property; Buying food on credit;
Borrowing money through
friends and relatives; Reducing
expenditures on NFI</v>
      </c>
      <c r="Q91" s="180" t="str">
        <f ca="1">IFERROR(__xludf.DUMMYFUNCTION("""COMPUTED_VALUE"""),"HH Selected: Selling means of
transport; Changing place of
residence; Children under 18
working to provide resources")</f>
        <v>HH Selected: Selling means of
transport; Changing place of
residence; Children under 18
working to provide resources</v>
      </c>
      <c r="R91" s="180" t="str">
        <f ca="1">IFERROR(__xludf.DUMMYFUNCTION("""COMPUTED_VALUE"""),"HH Selected: Children dropping
out from school; Accepting that
adults engage in risky behavior;
Migration of all family; Children
or adult forcefully married")</f>
        <v>HH Selected: Children dropping
out from school; Accepting that
adults engage in risky behavior;
Migration of all family; Children
or adult forcefully married</v>
      </c>
      <c r="S91" s="180"/>
    </row>
    <row r="92" spans="1:19" ht="105" hidden="1" customHeight="1">
      <c r="A92" s="159">
        <f ca="1">IFERROR(__xludf.DUMMYFUNCTION("""COMPUTED_VALUE"""),87)</f>
        <v>87</v>
      </c>
      <c r="B92" s="180" t="str">
        <f ca="1">IFERROR(__xludf.DUMMYFUNCTION("""COMPUTED_VALUE"""),"Protection")</f>
        <v>Protection</v>
      </c>
      <c r="C92" s="180" t="str">
        <f ca="1">IFERROR(__xludf.DUMMYFUNCTION("""COMPUTED_VALUE"""),"Protection")</f>
        <v>Protection</v>
      </c>
      <c r="D92" s="180" t="str">
        <f ca="1">IFERROR(__xludf.DUMMYFUNCTION("""COMPUTED_VALUE"""),"Humanitarian Conditions")</f>
        <v>Humanitarian Conditions</v>
      </c>
      <c r="E92" s="180" t="str">
        <f ca="1">IFERROR(__xludf.DUMMYFUNCTION("""COMPUTED_VALUE"""),"Living Standards")</f>
        <v>Living Standards</v>
      </c>
      <c r="F92" s="180" t="str">
        <f ca="1">IFERROR(__xludf.DUMMYFUNCTION("""COMPUTED_VALUE"""),"% of HH members without valid civil documentation and unable to obtain them")</f>
        <v>% of HH members without valid civil documentation and unable to obtain them</v>
      </c>
      <c r="G92" s="180"/>
      <c r="H92" s="180"/>
      <c r="I92" s="180"/>
      <c r="J92" s="180"/>
      <c r="K92" s="181">
        <f ca="1">IFERROR(__xludf.DUMMYFUNCTION("""COMPUTED_VALUE"""),1)</f>
        <v>1</v>
      </c>
      <c r="L92" s="180" t="str">
        <f ca="1">IFERROR(__xludf.DUMMYFUNCTION("""COMPUTED_VALUE"""),"HH Survey")</f>
        <v>HH Survey</v>
      </c>
      <c r="M92" s="180" t="str">
        <f ca="1">IFERROR(__xludf.DUMMYFUNCTION("""COMPUTED_VALUE"""),"MSNA / Protection Monitoring")</f>
        <v>MSNA / Protection Monitoring</v>
      </c>
      <c r="N92" s="180" t="str">
        <f ca="1">IFERROR(__xludf.DUMMYFUNCTION("""COMPUTED_VALUE"""),"All household members have valid documentation, including birth certificate, ID card and passport")</f>
        <v>All household members have valid documentation, including birth certificate, ID card and passport</v>
      </c>
      <c r="O92" s="180" t="str">
        <f ca="1">IFERROR(__xludf.DUMMYFUNCTION("""COMPUTED_VALUE"""),"All household members have valid documentation, including birth certificate and ID card")</f>
        <v>All household members have valid documentation, including birth certificate and ID card</v>
      </c>
      <c r="P92" s="180" t="str">
        <f ca="1">IFERROR(__xludf.DUMMYFUNCTION("""COMPUTED_VALUE"""),"At least one member of the HH don’t have valid ID card or passport but can obtain new ones")</f>
        <v>At least one member of the HH don’t have valid ID card or passport but can obtain new ones</v>
      </c>
      <c r="Q92" s="180" t="str">
        <f ca="1">IFERROR(__xludf.DUMMYFUNCTION("""COMPUTED_VALUE"""),"At least one member of the HH don’t have valid ID card or passport and can’t obtain new ones")</f>
        <v>At least one member of the HH don’t have valid ID card or passport and can’t obtain new ones</v>
      </c>
      <c r="R92" s="180" t="str">
        <f ca="1">IFERROR(__xludf.DUMMYFUNCTION("""COMPUTED_VALUE"""),"At least one member of the HH don’t have birth certificate")</f>
        <v>At least one member of the HH don’t have birth certificate</v>
      </c>
      <c r="S92" s="180"/>
    </row>
    <row r="93" spans="1:19" ht="105" hidden="1" customHeight="1">
      <c r="A93" s="159">
        <f ca="1">IFERROR(__xludf.DUMMYFUNCTION("""COMPUTED_VALUE"""),88)</f>
        <v>88</v>
      </c>
      <c r="B93" s="180" t="str">
        <f ca="1">IFERROR(__xludf.DUMMYFUNCTION("""COMPUTED_VALUE"""),"Protection")</f>
        <v>Protection</v>
      </c>
      <c r="C93" s="180" t="str">
        <f ca="1">IFERROR(__xludf.DUMMYFUNCTION("""COMPUTED_VALUE"""),"Protection")</f>
        <v>Protection</v>
      </c>
      <c r="D93" s="180" t="str">
        <f ca="1">IFERROR(__xludf.DUMMYFUNCTION("""COMPUTED_VALUE"""),"Humanitarian Conditions")</f>
        <v>Humanitarian Conditions</v>
      </c>
      <c r="E93" s="180" t="str">
        <f ca="1">IFERROR(__xludf.DUMMYFUNCTION("""COMPUTED_VALUE"""),"Living Standards")</f>
        <v>Living Standards</v>
      </c>
      <c r="F93" s="180" t="str">
        <f ca="1">IFERROR(__xludf.DUMMYFUNCTION("""COMPUTED_VALUE"""),"% of HHs reporting protection issues when accessing humanitarian assistance in the last 3 months")</f>
        <v>% of HHs reporting protection issues when accessing humanitarian assistance in the last 3 months</v>
      </c>
      <c r="G93" s="180"/>
      <c r="H93" s="180"/>
      <c r="I93" s="180"/>
      <c r="J93" s="180"/>
      <c r="K93" s="181">
        <f ca="1">IFERROR(__xludf.DUMMYFUNCTION("""COMPUTED_VALUE"""),2)</f>
        <v>2</v>
      </c>
      <c r="L93" s="180" t="str">
        <f ca="1">IFERROR(__xludf.DUMMYFUNCTION("""COMPUTED_VALUE"""),"HH Survey")</f>
        <v>HH Survey</v>
      </c>
      <c r="M93" s="180" t="str">
        <f ca="1">IFERROR(__xludf.DUMMYFUNCTION("""COMPUTED_VALUE"""),"MSNA / Protection Monitoring")</f>
        <v>MSNA / Protection Monitoring</v>
      </c>
      <c r="N93" s="180" t="str">
        <f ca="1">IFERROR(__xludf.DUMMYFUNCTION("""COMPUTED_VALUE"""),"&lt; 20%")</f>
        <v>&lt; 20%</v>
      </c>
      <c r="O93" s="180" t="str">
        <f ca="1">IFERROR(__xludf.DUMMYFUNCTION("""COMPUTED_VALUE"""),"20% - 30%")</f>
        <v>20% - 30%</v>
      </c>
      <c r="P93" s="180" t="str">
        <f ca="1">IFERROR(__xludf.DUMMYFUNCTION("""COMPUTED_VALUE"""),"30% - 40%")</f>
        <v>30% - 40%</v>
      </c>
      <c r="Q93" s="180" t="str">
        <f ca="1">IFERROR(__xludf.DUMMYFUNCTION("""COMPUTED_VALUE"""),"40% - 50%")</f>
        <v>40% - 50%</v>
      </c>
      <c r="R93" s="180" t="str">
        <f ca="1">IFERROR(__xludf.DUMMYFUNCTION("""COMPUTED_VALUE"""),"&gt; 50%")</f>
        <v>&gt; 50%</v>
      </c>
      <c r="S93" s="180"/>
    </row>
    <row r="94" spans="1:19" ht="105" hidden="1" customHeight="1">
      <c r="A94" s="159">
        <f ca="1">IFERROR(__xludf.DUMMYFUNCTION("""COMPUTED_VALUE"""),89)</f>
        <v>89</v>
      </c>
      <c r="B94" s="180" t="str">
        <f ca="1">IFERROR(__xludf.DUMMYFUNCTION("""COMPUTED_VALUE"""),"Protection")</f>
        <v>Protection</v>
      </c>
      <c r="C94" s="180" t="str">
        <f ca="1">IFERROR(__xludf.DUMMYFUNCTION("""COMPUTED_VALUE"""),"Protection")</f>
        <v>Protection</v>
      </c>
      <c r="D94" s="180" t="str">
        <f ca="1">IFERROR(__xludf.DUMMYFUNCTION("""COMPUTED_VALUE"""),"Humanitarian Conditions")</f>
        <v>Humanitarian Conditions</v>
      </c>
      <c r="E94" s="180" t="str">
        <f ca="1">IFERROR(__xludf.DUMMYFUNCTION("""COMPUTED_VALUE"""),"Living Standards")</f>
        <v>Living Standards</v>
      </c>
      <c r="F94" s="180" t="str">
        <f ca="1">IFERROR(__xludf.DUMMYFUNCTION("""COMPUTED_VALUE"""),"% of HHs that have experienced movement restrictions in the last 3 months")</f>
        <v>% of HHs that have experienced movement restrictions in the last 3 months</v>
      </c>
      <c r="G94" s="180"/>
      <c r="H94" s="180"/>
      <c r="I94" s="180"/>
      <c r="J94" s="180"/>
      <c r="K94" s="181">
        <f ca="1">IFERROR(__xludf.DUMMYFUNCTION("""COMPUTED_VALUE"""),1)</f>
        <v>1</v>
      </c>
      <c r="L94" s="180" t="str">
        <f ca="1">IFERROR(__xludf.DUMMYFUNCTION("""COMPUTED_VALUE"""),"HH Survey / KI")</f>
        <v>HH Survey / KI</v>
      </c>
      <c r="M94" s="180" t="str">
        <f ca="1">IFERROR(__xludf.DUMMYFUNCTION("""COMPUTED_VALUE"""),"MSNA / Protection Monitoring")</f>
        <v>MSNA / Protection Monitoring</v>
      </c>
      <c r="N94" s="180" t="str">
        <f ca="1">IFERROR(__xludf.DUMMYFUNCTION("""COMPUTED_VALUE"""),"HHs: Total freedom of movement inside or to another country
Area: 0%")</f>
        <v>HHs: Total freedom of movement inside or to another country
Area: 0%</v>
      </c>
      <c r="O94" s="180" t="str">
        <f ca="1">IFERROR(__xludf.DUMMYFUNCTION("""COMPUTED_VALUE"""),"HHs: Total freedom of movement inside the country
Area: 1-10%")</f>
        <v>HHs: Total freedom of movement inside the country
Area: 1-10%</v>
      </c>
      <c r="P94" s="180" t="str">
        <f ca="1">IFERROR(__xludf.DUMMYFUNCTION("""COMPUTED_VALUE"""),"HHs: Total freedom of movement inside the same province / district
Area: 20-40%")</f>
        <v>HHs: Total freedom of movement inside the same province / district
Area: 20-40%</v>
      </c>
      <c r="Q94" s="180" t="str">
        <f ca="1">IFERROR(__xludf.DUMMYFUNCTION("""COMPUTED_VALUE"""),"HHs: No possibility for household members to move outside their site / community
Area: 40-60%")</f>
        <v>HHs: No possibility for household members to move outside their site / community
Area: 40-60%</v>
      </c>
      <c r="R94" s="180" t="str">
        <f ca="1">IFERROR(__xludf.DUMMYFUNCTION("""COMPUTED_VALUE"""),"HHs: No possibility for household members to move within their site / community
Area: 60%")</f>
        <v>HHs: No possibility for household members to move within their site / community
Area: 60%</v>
      </c>
      <c r="S94" s="180"/>
    </row>
    <row r="95" spans="1:19" ht="105" hidden="1" customHeight="1">
      <c r="A95" s="159">
        <f ca="1">IFERROR(__xludf.DUMMYFUNCTION("""COMPUTED_VALUE"""),90)</f>
        <v>90</v>
      </c>
      <c r="B95" s="180" t="str">
        <f ca="1">IFERROR(__xludf.DUMMYFUNCTION("""COMPUTED_VALUE"""),"Protection")</f>
        <v>Protection</v>
      </c>
      <c r="C95" s="180" t="str">
        <f ca="1">IFERROR(__xludf.DUMMYFUNCTION("""COMPUTED_VALUE"""),"Protection")</f>
        <v>Protection</v>
      </c>
      <c r="D95" s="180" t="str">
        <f ca="1">IFERROR(__xludf.DUMMYFUNCTION("""COMPUTED_VALUE"""),"Humanitarian Conditions")</f>
        <v>Humanitarian Conditions</v>
      </c>
      <c r="E95" s="180" t="str">
        <f ca="1">IFERROR(__xludf.DUMMYFUNCTION("""COMPUTED_VALUE"""),"Living Standards")</f>
        <v>Living Standards</v>
      </c>
      <c r="F95" s="180" t="str">
        <f ca="1">IFERROR(__xludf.DUMMYFUNCTION("""COMPUTED_VALUE"""),"% of HHs without access to official law enforcement authorities and/or judiciary system")</f>
        <v>% of HHs without access to official law enforcement authorities and/or judiciary system</v>
      </c>
      <c r="G95" s="180"/>
      <c r="H95" s="180"/>
      <c r="I95" s="180"/>
      <c r="J95" s="180"/>
      <c r="K95" s="181">
        <f ca="1">IFERROR(__xludf.DUMMYFUNCTION("""COMPUTED_VALUE"""),2)</f>
        <v>2</v>
      </c>
      <c r="L95" s="180" t="str">
        <f ca="1">IFERROR(__xludf.DUMMYFUNCTION("""COMPUTED_VALUE"""),"HH Survey / KI")</f>
        <v>HH Survey / KI</v>
      </c>
      <c r="M95" s="180" t="str">
        <f ca="1">IFERROR(__xludf.DUMMYFUNCTION("""COMPUTED_VALUE"""),"MSNA / Protection Monitoring / Service mapping")</f>
        <v>MSNA / Protection Monitoring / Service mapping</v>
      </c>
      <c r="N95" s="180" t="str">
        <f ca="1">IFERROR(__xludf.DUMMYFUNCTION("""COMPUTED_VALUE"""),"&lt; 20%")</f>
        <v>&lt; 20%</v>
      </c>
      <c r="O95" s="180" t="str">
        <f ca="1">IFERROR(__xludf.DUMMYFUNCTION("""COMPUTED_VALUE"""),"20% - 30%")</f>
        <v>20% - 30%</v>
      </c>
      <c r="P95" s="180" t="str">
        <f ca="1">IFERROR(__xludf.DUMMYFUNCTION("""COMPUTED_VALUE"""),"30% - 40%")</f>
        <v>30% - 40%</v>
      </c>
      <c r="Q95" s="180" t="str">
        <f ca="1">IFERROR(__xludf.DUMMYFUNCTION("""COMPUTED_VALUE"""),"40% - 50%")</f>
        <v>40% - 50%</v>
      </c>
      <c r="R95" s="180" t="str">
        <f ca="1">IFERROR(__xludf.DUMMYFUNCTION("""COMPUTED_VALUE"""),"&gt; 50%")</f>
        <v>&gt; 50%</v>
      </c>
      <c r="S95" s="180"/>
    </row>
    <row r="96" spans="1:19" ht="105" hidden="1" customHeight="1">
      <c r="A96" s="159">
        <f ca="1">IFERROR(__xludf.DUMMYFUNCTION("""COMPUTED_VALUE"""),91)</f>
        <v>91</v>
      </c>
      <c r="B96" s="180" t="str">
        <f ca="1">IFERROR(__xludf.DUMMYFUNCTION("""COMPUTED_VALUE"""),"Protection")</f>
        <v>Protection</v>
      </c>
      <c r="C96" s="180" t="str">
        <f ca="1">IFERROR(__xludf.DUMMYFUNCTION("""COMPUTED_VALUE"""),"Protection")</f>
        <v>Protection</v>
      </c>
      <c r="D96" s="180" t="str">
        <f ca="1">IFERROR(__xludf.DUMMYFUNCTION("""COMPUTED_VALUE"""),"Humanitarian Conditions")</f>
        <v>Humanitarian Conditions</v>
      </c>
      <c r="E96" s="180" t="str">
        <f ca="1">IFERROR(__xludf.DUMMYFUNCTION("""COMPUTED_VALUE"""),"Living Standards")</f>
        <v>Living Standards</v>
      </c>
      <c r="F96" s="180" t="str">
        <f ca="1">IFERROR(__xludf.DUMMYFUNCTION("""COMPUTED_VALUE"""),"% of population in specific groups excluded or with limited access to services (i.e. UASC, persons with disabilities, older persons, minority groups, etc.)")</f>
        <v>% of population in specific groups excluded or with limited access to services (i.e. UASC, persons with disabilities, older persons, minority groups, etc.)</v>
      </c>
      <c r="G96" s="180"/>
      <c r="H96" s="180"/>
      <c r="I96" s="180"/>
      <c r="J96" s="180"/>
      <c r="K96" s="181">
        <f ca="1">IFERROR(__xludf.DUMMYFUNCTION("""COMPUTED_VALUE"""),1)</f>
        <v>1</v>
      </c>
      <c r="L96" s="180" t="str">
        <f ca="1">IFERROR(__xludf.DUMMYFUNCTION("""COMPUTED_VALUE"""),"KI")</f>
        <v>KI</v>
      </c>
      <c r="M96" s="180" t="str">
        <f ca="1">IFERROR(__xludf.DUMMYFUNCTION("""COMPUTED_VALUE"""),"Protection Monitoring")</f>
        <v>Protection Monitoring</v>
      </c>
      <c r="N96" s="180" t="str">
        <f ca="1">IFERROR(__xludf.DUMMYFUNCTION("""COMPUTED_VALUE"""),"&lt; 30%")</f>
        <v>&lt; 30%</v>
      </c>
      <c r="O96" s="180" t="str">
        <f ca="1">IFERROR(__xludf.DUMMYFUNCTION("""COMPUTED_VALUE"""),"30% - 45%")</f>
        <v>30% - 45%</v>
      </c>
      <c r="P96" s="180" t="str">
        <f ca="1">IFERROR(__xludf.DUMMYFUNCTION("""COMPUTED_VALUE"""),"45% - 60%")</f>
        <v>45% - 60%</v>
      </c>
      <c r="Q96" s="180" t="str">
        <f ca="1">IFERROR(__xludf.DUMMYFUNCTION("""COMPUTED_VALUE"""),"60% - 75%")</f>
        <v>60% - 75%</v>
      </c>
      <c r="R96" s="180" t="str">
        <f ca="1">IFERROR(__xludf.DUMMYFUNCTION("""COMPUTED_VALUE"""),"&gt; 75%")</f>
        <v>&gt; 75%</v>
      </c>
      <c r="S96" s="180"/>
    </row>
    <row r="97" spans="1:19" ht="105" hidden="1" customHeight="1">
      <c r="A97" s="159">
        <f ca="1">IFERROR(__xludf.DUMMYFUNCTION("""COMPUTED_VALUE"""),92)</f>
        <v>92</v>
      </c>
      <c r="B97" s="180" t="str">
        <f ca="1">IFERROR(__xludf.DUMMYFUNCTION("""COMPUTED_VALUE"""),"Protection")</f>
        <v>Protection</v>
      </c>
      <c r="C97" s="180" t="str">
        <f ca="1">IFERROR(__xludf.DUMMYFUNCTION("""COMPUTED_VALUE"""),"Protection")</f>
        <v>Protection</v>
      </c>
      <c r="D97" s="180" t="str">
        <f ca="1">IFERROR(__xludf.DUMMYFUNCTION("""COMPUTED_VALUE"""),"Humanitarian Conditions")</f>
        <v>Humanitarian Conditions</v>
      </c>
      <c r="E97" s="180" t="str">
        <f ca="1">IFERROR(__xludf.DUMMYFUNCTION("""COMPUTED_VALUE"""),"Physical and Mental Wellbeing")</f>
        <v>Physical and Mental Wellbeing</v>
      </c>
      <c r="F97" s="180" t="str">
        <f ca="1">IFERROR(__xludf.DUMMYFUNCTION("""COMPUTED_VALUE"""),"Civilian population killed or injured by violence, conflict or natural hazards")</f>
        <v>Civilian population killed or injured by violence, conflict or natural hazards</v>
      </c>
      <c r="G97" s="180"/>
      <c r="H97" s="180"/>
      <c r="I97" s="180"/>
      <c r="J97" s="180"/>
      <c r="K97" s="181">
        <f ca="1">IFERROR(__xludf.DUMMYFUNCTION("""COMPUTED_VALUE"""),1)</f>
        <v>1</v>
      </c>
      <c r="L97" s="180" t="str">
        <f ca="1">IFERROR(__xludf.DUMMYFUNCTION("""COMPUTED_VALUE"""),"KI")</f>
        <v>KI</v>
      </c>
      <c r="M97" s="180" t="str">
        <f ca="1">IFERROR(__xludf.DUMMYFUNCTION("""COMPUTED_VALUE"""),"UNDSS / ACLED / Media Monitoring")</f>
        <v>UNDSS / ACLED / Media Monitoring</v>
      </c>
      <c r="N97" s="180"/>
      <c r="O97" s="180"/>
      <c r="P97" s="180"/>
      <c r="Q97" s="180"/>
      <c r="R97" s="180"/>
      <c r="S97" s="180"/>
    </row>
    <row r="98" spans="1:19" ht="105" hidden="1" customHeight="1">
      <c r="A98" s="159">
        <f ca="1">IFERROR(__xludf.DUMMYFUNCTION("""COMPUTED_VALUE"""),93)</f>
        <v>93</v>
      </c>
      <c r="B98" s="180" t="str">
        <f ca="1">IFERROR(__xludf.DUMMYFUNCTION("""COMPUTED_VALUE"""),"Protection")</f>
        <v>Protection</v>
      </c>
      <c r="C98" s="180" t="str">
        <f ca="1">IFERROR(__xludf.DUMMYFUNCTION("""COMPUTED_VALUE"""),"Protection")</f>
        <v>Protection</v>
      </c>
      <c r="D98" s="180" t="str">
        <f ca="1">IFERROR(__xludf.DUMMYFUNCTION("""COMPUTED_VALUE"""),"Humanitarian Conditions")</f>
        <v>Humanitarian Conditions</v>
      </c>
      <c r="E98" s="180" t="str">
        <f ca="1">IFERROR(__xludf.DUMMYFUNCTION("""COMPUTED_VALUE"""),"Physical and Mental Wellbeing")</f>
        <v>Physical and Mental Wellbeing</v>
      </c>
      <c r="F98" s="180" t="str">
        <f ca="1">IFERROR(__xludf.DUMMYFUNCTION("""COMPUTED_VALUE"""),"% of population in sites/communities reporting protection incidents in the last 3 months")</f>
        <v>% of population in sites/communities reporting protection incidents in the last 3 months</v>
      </c>
      <c r="G98" s="180"/>
      <c r="H98" s="180"/>
      <c r="I98" s="180"/>
      <c r="J98" s="180"/>
      <c r="K98" s="181">
        <f ca="1">IFERROR(__xludf.DUMMYFUNCTION("""COMPUTED_VALUE"""),1)</f>
        <v>1</v>
      </c>
      <c r="L98" s="180" t="str">
        <f ca="1">IFERROR(__xludf.DUMMYFUNCTION("""COMPUTED_VALUE"""),"KI")</f>
        <v>KI</v>
      </c>
      <c r="M98" s="180" t="str">
        <f ca="1">IFERROR(__xludf.DUMMYFUNCTION("""COMPUTED_VALUE"""),"Protection Monitoring")</f>
        <v>Protection Monitoring</v>
      </c>
      <c r="N98" s="180" t="str">
        <f ca="1">IFERROR(__xludf.DUMMYFUNCTION("""COMPUTED_VALUE"""),"&lt; 20%")</f>
        <v>&lt; 20%</v>
      </c>
      <c r="O98" s="180" t="str">
        <f ca="1">IFERROR(__xludf.DUMMYFUNCTION("""COMPUTED_VALUE"""),"20% - 30%")</f>
        <v>20% - 30%</v>
      </c>
      <c r="P98" s="180" t="str">
        <f ca="1">IFERROR(__xludf.DUMMYFUNCTION("""COMPUTED_VALUE"""),"30% - 40%")</f>
        <v>30% - 40%</v>
      </c>
      <c r="Q98" s="180" t="str">
        <f ca="1">IFERROR(__xludf.DUMMYFUNCTION("""COMPUTED_VALUE"""),"40% - 50%")</f>
        <v>40% - 50%</v>
      </c>
      <c r="R98" s="180" t="str">
        <f ca="1">IFERROR(__xludf.DUMMYFUNCTION("""COMPUTED_VALUE"""),"&gt; 50%")</f>
        <v>&gt; 50%</v>
      </c>
      <c r="S98" s="180"/>
    </row>
    <row r="99" spans="1:19" ht="105" hidden="1" customHeight="1">
      <c r="A99" s="159">
        <f ca="1">IFERROR(__xludf.DUMMYFUNCTION("""COMPUTED_VALUE"""),94)</f>
        <v>94</v>
      </c>
      <c r="B99" s="180" t="str">
        <f ca="1">IFERROR(__xludf.DUMMYFUNCTION("""COMPUTED_VALUE"""),"Protection")</f>
        <v>Protection</v>
      </c>
      <c r="C99" s="180" t="str">
        <f ca="1">IFERROR(__xludf.DUMMYFUNCTION("""COMPUTED_VALUE"""),"Protection")</f>
        <v>Protection</v>
      </c>
      <c r="D99" s="180" t="str">
        <f ca="1">IFERROR(__xludf.DUMMYFUNCTION("""COMPUTED_VALUE"""),"Humanitarian Conditions")</f>
        <v>Humanitarian Conditions</v>
      </c>
      <c r="E99" s="180" t="str">
        <f ca="1">IFERROR(__xludf.DUMMYFUNCTION("""COMPUTED_VALUE"""),"Physical and Mental Wellbeing")</f>
        <v>Physical and Mental Wellbeing</v>
      </c>
      <c r="F99" s="180" t="str">
        <f ca="1">IFERROR(__xludf.DUMMYFUNCTION("""COMPUTED_VALUE"""),"% of HHs who have suffered incidents affecting HH members in the last 3 months")</f>
        <v>% of HHs who have suffered incidents affecting HH members in the last 3 months</v>
      </c>
      <c r="G99" s="180"/>
      <c r="H99" s="180"/>
      <c r="I99" s="180"/>
      <c r="J99" s="180"/>
      <c r="K99" s="181">
        <f ca="1">IFERROR(__xludf.DUMMYFUNCTION("""COMPUTED_VALUE"""),1)</f>
        <v>1</v>
      </c>
      <c r="L99" s="180" t="str">
        <f ca="1">IFERROR(__xludf.DUMMYFUNCTION("""COMPUTED_VALUE"""),"HH Survey / KI")</f>
        <v>HH Survey / KI</v>
      </c>
      <c r="M99" s="180" t="str">
        <f ca="1">IFERROR(__xludf.DUMMYFUNCTION("""COMPUTED_VALUE"""),"Protection Monitoring/MSNA")</f>
        <v>Protection Monitoring/MSNA</v>
      </c>
      <c r="N99" s="180" t="str">
        <f ca="1">IFERROR(__xludf.DUMMYFUNCTION("""COMPUTED_VALUE"""),"HH: No security incidents in the last XX days/months
Area: 0%")</f>
        <v>HH: No security incidents in the last XX days/months
Area: 0%</v>
      </c>
      <c r="O99" s="180" t="str">
        <f ca="1">IFERROR(__xludf.DUMMYFUNCTION("""COMPUTED_VALUE"""),"HHs: Verbally threatened or intimidated
Area: 1-10% HHs have suffered incidents")</f>
        <v>HHs: Verbally threatened or intimidated
Area: 1-10% HHs have suffered incidents</v>
      </c>
      <c r="P99" s="180" t="str">
        <f ca="1">IFERROR(__xludf.DUMMYFUNCTION("""COMPUTED_VALUE"""),"HHs: At least one serious incident in the last XX days/months
Area: 20-40% HHs have suffered incidents")</f>
        <v>HHs: At least one serious incident in the last XX days/months
Area: 20-40% HHs have suffered incidents</v>
      </c>
      <c r="Q99" s="180" t="str">
        <f ca="1">IFERROR(__xludf.DUMMYFUNCTION("""COMPUTED_VALUE"""),"HHs: At least one severe incident in the last XX months OR At least 2 serious incidents OR
Area: 40-60% HHs have suffered incidents")</f>
        <v>HHs: At least one severe incident in the last XX months OR At least 2 serious incidents OR
Area: 40-60% HHs have suffered incidents</v>
      </c>
      <c r="R99" s="180" t="str">
        <f ca="1">IFERROR(__xludf.DUMMYFUNCTION("""COMPUTED_VALUE"""),"HHs: At least one critical incident in the last XX days/months OR At least 2 Severe incidents
Area: &gt;60% HHs have suffered incidents")</f>
        <v>HHs: At least one critical incident in the last XX days/months OR At least 2 Severe incidents
Area: &gt;60% HHs have suffered incidents</v>
      </c>
      <c r="S99" s="180" t="str">
        <f ca="1">IFERROR(__xludf.DUMMYFUNCTION("""COMPUTED_VALUE"""),"More appropiate in the context of protection monitoring systems linked to referrals and where questions can be asked to different HH members.")</f>
        <v>More appropiate in the context of protection monitoring systems linked to referrals and where questions can be asked to different HH members.</v>
      </c>
    </row>
    <row r="100" spans="1:19" ht="105" hidden="1" customHeight="1">
      <c r="A100" s="159">
        <f ca="1">IFERROR(__xludf.DUMMYFUNCTION("""COMPUTED_VALUE"""),95)</f>
        <v>95</v>
      </c>
      <c r="B100" s="180" t="str">
        <f ca="1">IFERROR(__xludf.DUMMYFUNCTION("""COMPUTED_VALUE"""),"Protection")</f>
        <v>Protection</v>
      </c>
      <c r="C100" s="180" t="str">
        <f ca="1">IFERROR(__xludf.DUMMYFUNCTION("""COMPUTED_VALUE"""),"Protection")</f>
        <v>Protection</v>
      </c>
      <c r="D100" s="180" t="str">
        <f ca="1">IFERROR(__xludf.DUMMYFUNCTION("""COMPUTED_VALUE"""),"Humanitarian Conditions")</f>
        <v>Humanitarian Conditions</v>
      </c>
      <c r="E100" s="180" t="str">
        <f ca="1">IFERROR(__xludf.DUMMYFUNCTION("""COMPUTED_VALUE"""),"Physical and Mental Wellbeing")</f>
        <v>Physical and Mental Wellbeing</v>
      </c>
      <c r="F100" s="180" t="str">
        <f ca="1">IFERROR(__xludf.DUMMYFUNCTION("""COMPUTED_VALUE"""),"% of HHs reporting concerns from any harm, physical threaths or discrimination in the area where they are livingin the last 3 months")</f>
        <v>% of HHs reporting concerns from any harm, physical threaths or discrimination in the area where they are livingin the last 3 months</v>
      </c>
      <c r="G100" s="180"/>
      <c r="H100" s="180"/>
      <c r="I100" s="180"/>
      <c r="J100" s="180"/>
      <c r="K100" s="181">
        <f ca="1">IFERROR(__xludf.DUMMYFUNCTION("""COMPUTED_VALUE"""),1)</f>
        <v>1</v>
      </c>
      <c r="L100" s="180" t="str">
        <f ca="1">IFERROR(__xludf.DUMMYFUNCTION("""COMPUTED_VALUE"""),"HH Survey / KI")</f>
        <v>HH Survey / KI</v>
      </c>
      <c r="M100" s="180" t="str">
        <f ca="1">IFERROR(__xludf.DUMMYFUNCTION("""COMPUTED_VALUE"""),"MSNA / Protection Monitoring")</f>
        <v>MSNA / Protection Monitoring</v>
      </c>
      <c r="N100" s="180" t="str">
        <f ca="1">IFERROR(__xludf.DUMMYFUNCTION("""COMPUTED_VALUE"""),"HHs: Sometimes worried about theft or harassment or small/medium injuries OR
Sometimes worried about death, EOs OR abduction
Area: 0%")</f>
        <v>HHs: Sometimes worried about theft or harassment or small/medium injuries OR
Sometimes worried about death, EOs OR abduction
Area: 0%</v>
      </c>
      <c r="O100" s="180" t="str">
        <f ca="1">IFERROR(__xludf.DUMMYFUNCTION("""COMPUTED_VALUE"""),"HHs: Always worried about small/medium injuries OR theft / harassment
Area: 1-10%")</f>
        <v>HHs: Always worried about small/medium injuries OR theft / harassment
Area: 1-10%</v>
      </c>
      <c r="P100" s="180" t="str">
        <f ca="1">IFERROR(__xludf.DUMMYFUNCTION("""COMPUTED_VALUE"""),"HHs: Sometimes worried about sexual violence OR grave injuries
Area: 20-40% HHs reporting security concerns")</f>
        <v>HHs: Sometimes worried about sexual violence OR grave injuries
Area: 20-40% HHs reporting security concerns</v>
      </c>
      <c r="Q100" s="180" t="str">
        <f ca="1">IFERROR(__xludf.DUMMYFUNCTION("""COMPUTED_VALUE"""),"HHs: Always worried about sexual violence OR grave injuries OR Sometimes worried about death, EOs OR abduction
Area: 40-60% HHs reporting security concerns")</f>
        <v>HHs: Always worried about sexual violence OR grave injuries OR Sometimes worried about death, EOs OR abduction
Area: 40-60% HHs reporting security concerns</v>
      </c>
      <c r="R100" s="180" t="str">
        <f ca="1">IFERROR(__xludf.DUMMYFUNCTION("""COMPUTED_VALUE"""),"Always worried about death OR abduction OR EOs
Area: 60% HHs reporting security concerns")</f>
        <v>Always worried about death OR abduction OR EOs
Area: 60% HHs reporting security concerns</v>
      </c>
      <c r="S100" s="180" t="str">
        <f ca="1">IFERROR(__xludf.DUMMYFUNCTION("""COMPUTED_VALUE"""),"Proxy indicator to include in case HHs directly affected by protection incidents is not available.")</f>
        <v>Proxy indicator to include in case HHs directly affected by protection incidents is not available.</v>
      </c>
    </row>
    <row r="101" spans="1:19" ht="105" hidden="1" customHeight="1">
      <c r="A101" s="159">
        <f ca="1">IFERROR(__xludf.DUMMYFUNCTION("""COMPUTED_VALUE"""),96)</f>
        <v>96</v>
      </c>
      <c r="B101" s="183" t="str">
        <f ca="1">IFERROR(__xludf.DUMMYFUNCTION("""COMPUTED_VALUE"""),"Shelter")</f>
        <v>Shelter</v>
      </c>
      <c r="C101" s="183" t="str">
        <f ca="1">IFERROR(__xludf.DUMMYFUNCTION("""COMPUTED_VALUE"""),"Enclosure")</f>
        <v>Enclosure</v>
      </c>
      <c r="D101" s="183" t="str">
        <f ca="1">IFERROR(__xludf.DUMMYFUNCTION("""COMPUTED_VALUE"""),"Humanitarian conditions")</f>
        <v>Humanitarian conditions</v>
      </c>
      <c r="E101" s="183" t="str">
        <f ca="1">IFERROR(__xludf.DUMMYFUNCTION("""COMPUTED_VALUE"""),"Living Standards")</f>
        <v>Living Standards</v>
      </c>
      <c r="F101" s="183" t="str">
        <f ca="1">IFERROR(__xludf.DUMMYFUNCTION("""COMPUTED_VALUE"""),"% of HH whose dwelling enclosure provides adequate security, privacy, and maintains possessions")</f>
        <v>% of HH whose dwelling enclosure provides adequate security, privacy, and maintains possessions</v>
      </c>
      <c r="G101" s="183"/>
      <c r="H101" s="183"/>
      <c r="I101" s="183"/>
      <c r="J101" s="183"/>
      <c r="K101" s="183"/>
      <c r="L101" s="183"/>
      <c r="M101" s="183"/>
      <c r="N101" s="183" t="str">
        <f ca="1">IFERROR(__xludf.DUMMYFUNCTION("""COMPUTED_VALUE"""),"Household:  Occupants are  fully secure.  Dwelling encloses the occupants and their property so that they are fully secure and private.   Little or no intervention required.")</f>
        <v>Household:  Occupants are  fully secure.  Dwelling encloses the occupants and their property so that they are fully secure and private.   Little or no intervention required.</v>
      </c>
      <c r="O101" s="183" t="str">
        <f ca="1">IFERROR(__xludf.DUMMYFUNCTION("""COMPUTED_VALUE"""),"Household: Occupants are mostly secure.  Dwelling enclosure shows minor privacy deficiencies but maintains security for most household possessions with possible minor repairable deficiencies.")</f>
        <v>Household: Occupants are mostly secure.  Dwelling enclosure shows minor privacy deficiencies but maintains security for most household possessions with possible minor repairable deficiencies.</v>
      </c>
      <c r="P101" s="183" t="str">
        <f ca="1">IFERROR(__xludf.DUMMYFUNCTION("""COMPUTED_VALUE"""),"Household: Occupants have moderate insecurity. Household is moderately exposed to external observation and possessions are not lockable, however they may be able to be concealed. Repairs are required.")</f>
        <v>Household: Occupants have moderate insecurity. Household is moderately exposed to external observation and possessions are not lockable, however they may be able to be concealed. Repairs are required.</v>
      </c>
      <c r="Q101" s="183" t="str">
        <f ca="1">IFERROR(__xludf.DUMMYFUNCTION("""COMPUTED_VALUE"""),"Household:  Occupants have severe insecurity.  Dwelling enclosure is very compromised with very poor privacy aspects and possessions are very exposed.")</f>
        <v>Household:  Occupants have severe insecurity.  Dwelling enclosure is very compromised with very poor privacy aspects and possessions are very exposed.</v>
      </c>
      <c r="R101" s="183" t="str">
        <f ca="1">IFERROR(__xludf.DUMMYFUNCTION("""COMPUTED_VALUE"""),"Household:  Dwelling occupants are fully insecure.  Dwelling provides no security to possessions with possible theft/loss and no external privacy.")</f>
        <v>Household:  Dwelling occupants are fully insecure.  Dwelling provides no security to possessions with possible theft/loss and no external privacy.</v>
      </c>
      <c r="S101" s="183"/>
    </row>
    <row r="102" spans="1:19" ht="105" hidden="1" customHeight="1">
      <c r="A102" s="159">
        <f ca="1">IFERROR(__xludf.DUMMYFUNCTION("""COMPUTED_VALUE"""),97)</f>
        <v>97</v>
      </c>
      <c r="B102" s="184" t="str">
        <f ca="1">IFERROR(__xludf.DUMMYFUNCTION("""COMPUTED_VALUE"""),"Shelter")</f>
        <v>Shelter</v>
      </c>
      <c r="C102" s="184" t="str">
        <f ca="1">IFERROR(__xludf.DUMMYFUNCTION("""COMPUTED_VALUE"""),"Enclosure")</f>
        <v>Enclosure</v>
      </c>
      <c r="D102" s="184" t="str">
        <f ca="1">IFERROR(__xludf.DUMMYFUNCTION("""COMPUTED_VALUE"""),"Humanitarian conditions")</f>
        <v>Humanitarian conditions</v>
      </c>
      <c r="E102" s="183" t="str">
        <f ca="1">IFERROR(__xludf.DUMMYFUNCTION("""COMPUTED_VALUE"""),"Living Standards")</f>
        <v>Living Standards</v>
      </c>
      <c r="F102" s="184" t="str">
        <f ca="1">IFERROR(__xludf.DUMMYFUNCTION("""COMPUTED_VALUE"""),"% of HH with interior partition(s)")</f>
        <v>% of HH with interior partition(s)</v>
      </c>
      <c r="G102" s="183"/>
      <c r="H102" s="183"/>
      <c r="I102" s="183"/>
      <c r="J102" s="183"/>
      <c r="K102" s="185">
        <f ca="1">IFERROR(__xludf.DUMMYFUNCTION("""COMPUTED_VALUE"""),2)</f>
        <v>2</v>
      </c>
      <c r="L102" s="184"/>
      <c r="M102" s="183" t="str">
        <f ca="1">IFERROR(__xludf.DUMMYFUNCTION("""COMPUTED_VALUE"""),"Shelter Cluster assessments")</f>
        <v>Shelter Cluster assessments</v>
      </c>
      <c r="N102" s="184" t="str">
        <f ca="1">IFERROR(__xludf.DUMMYFUNCTION("""COMPUTED_VALUE"""),"All dwellings have interior partitions")</f>
        <v>All dwellings have interior partitions</v>
      </c>
      <c r="O102" s="184" t="str">
        <f ca="1">IFERROR(__xludf.DUMMYFUNCTION("""COMPUTED_VALUE"""),"10% of HH lack interior partitions")</f>
        <v>10% of HH lack interior partitions</v>
      </c>
      <c r="P102" s="184" t="str">
        <f ca="1">IFERROR(__xludf.DUMMYFUNCTION("""COMPUTED_VALUE"""),"20% of HH lack interior partitions")</f>
        <v>20% of HH lack interior partitions</v>
      </c>
      <c r="Q102" s="184" t="str">
        <f ca="1">IFERROR(__xludf.DUMMYFUNCTION("""COMPUTED_VALUE"""),"30% of HH lack interior partitions")</f>
        <v>30% of HH lack interior partitions</v>
      </c>
      <c r="R102" s="184" t="str">
        <f ca="1">IFERROR(__xludf.DUMMYFUNCTION("""COMPUTED_VALUE"""),"40% of HH lack interior partitions")</f>
        <v>40% of HH lack interior partitions</v>
      </c>
      <c r="S102" s="184"/>
    </row>
    <row r="103" spans="1:19" ht="105" hidden="1" customHeight="1">
      <c r="A103" s="159">
        <f ca="1">IFERROR(__xludf.DUMMYFUNCTION("""COMPUTED_VALUE"""),98)</f>
        <v>98</v>
      </c>
      <c r="B103" s="183" t="str">
        <f ca="1">IFERROR(__xludf.DUMMYFUNCTION("""COMPUTED_VALUE"""),"Shelter")</f>
        <v>Shelter</v>
      </c>
      <c r="C103" s="183" t="str">
        <f ca="1">IFERROR(__xludf.DUMMYFUNCTION("""COMPUTED_VALUE"""),"Enclosure")</f>
        <v>Enclosure</v>
      </c>
      <c r="D103" s="183" t="str">
        <f ca="1">IFERROR(__xludf.DUMMYFUNCTION("""COMPUTED_VALUE"""),"Humanitarian conditions")</f>
        <v>Humanitarian conditions</v>
      </c>
      <c r="E103" s="183" t="str">
        <f ca="1">IFERROR(__xludf.DUMMYFUNCTION("""COMPUTED_VALUE"""),"Living Standards")</f>
        <v>Living Standards</v>
      </c>
      <c r="F103" s="183" t="str">
        <f ca="1">IFERROR(__xludf.DUMMYFUNCTION("""COMPUTED_VALUE"""),"% of HHs whose dwelling enclosure provides adequate safety to the occupants, protection from exposure, and low risk of failure in predictable hazards.")</f>
        <v>% of HHs whose dwelling enclosure provides adequate safety to the occupants, protection from exposure, and low risk of failure in predictable hazards.</v>
      </c>
      <c r="G103" s="183"/>
      <c r="H103" s="183"/>
      <c r="I103" s="183"/>
      <c r="J103" s="183"/>
      <c r="K103" s="183"/>
      <c r="L103" s="183"/>
      <c r="M103" s="183"/>
      <c r="N103" s="183" t="str">
        <f ca="1">IFERROR(__xludf.DUMMYFUNCTION("""COMPUTED_VALUE"""),"Household:  Occupants are  fully safe. Dwelling unit is structurally safe and encloses the residents and their property so that they are warm and dry.  Little or no intervention required.")</f>
        <v>Household:  Occupants are  fully safe. Dwelling unit is structurally safe and encloses the residents and their property so that they are warm and dry.  Little or no intervention required.</v>
      </c>
      <c r="O103" s="183" t="str">
        <f ca="1">IFERROR(__xludf.DUMMYFUNCTION("""COMPUTED_VALUE"""),"Household: Occupants are mostly safe.  Dwelling enclosure shows cosmetic deficiencies but maintains healthy structural and performance standards for weather protection with possible minor repairable deficiencies.")</f>
        <v>Household: Occupants are mostly safe.  Dwelling enclosure shows cosmetic deficiencies but maintains healthy structural and performance standards for weather protection with possible minor repairable deficiencies.</v>
      </c>
      <c r="P103" s="183" t="str">
        <f ca="1">IFERROR(__xludf.DUMMYFUNCTION("""COMPUTED_VALUE"""),"Household: Occupants are moderately unsafe.  Dwelling enclosure performance is moderately compromised, some exposure to weather-related (heat, cold, water) and extended living in this state can lead to deterioration of domestic health or building enclosur"&amp;"e integrity. Repairs are required.")</f>
        <v>Household: Occupants are moderately unsafe.  Dwelling enclosure performance is moderately compromised, some exposure to weather-related (heat, cold, water) and extended living in this state can lead to deterioration of domestic health or building enclosure integrity. Repairs are required.</v>
      </c>
      <c r="Q103" s="183" t="str">
        <f ca="1">IFERROR(__xludf.DUMMYFUNCTION("""COMPUTED_VALUE"""),"Household: Occupants are severely unsafe.  Dwelling enclosure performance is severely compromised so that occupant health/injury is at immediate risk. Significant water/air permeance is present, occupants are hot/cold and possessions regularly get wet dur"&amp;"ing rain events..  Significant contruction required, likely temporary accomodation.")</f>
        <v>Household: Occupants are severely unsafe.  Dwelling enclosure performance is severely compromised so that occupant health/injury is at immediate risk. Significant water/air permeance is present, occupants are hot/cold and possessions regularly get wet during rain events..  Significant contruction required, likely temporary accomodation.</v>
      </c>
      <c r="R103" s="183" t="str">
        <f ca="1">IFERROR(__xludf.DUMMYFUNCTION("""COMPUTED_VALUE"""),"Household: Dwelling occupants are fully unsafe.  Building enclosure has little or no prevention for water or weather permeance, is severely damaged, and very unsafe or impossible to reside within.")</f>
        <v>Household: Dwelling occupants are fully unsafe.  Building enclosure has little or no prevention for water or weather permeance, is severely damaged, and very unsafe or impossible to reside within.</v>
      </c>
      <c r="S103" s="183"/>
    </row>
    <row r="104" spans="1:19" ht="105" hidden="1" customHeight="1">
      <c r="A104" s="159">
        <f ca="1">IFERROR(__xludf.DUMMYFUNCTION("""COMPUTED_VALUE"""),99)</f>
        <v>99</v>
      </c>
      <c r="B104" s="183" t="str">
        <f ca="1">IFERROR(__xludf.DUMMYFUNCTION("""COMPUTED_VALUE"""),"Shelter")</f>
        <v>Shelter</v>
      </c>
      <c r="C104" s="184" t="str">
        <f ca="1">IFERROR(__xludf.DUMMYFUNCTION("""COMPUTED_VALUE"""),"Enclosure")</f>
        <v>Enclosure</v>
      </c>
      <c r="D104" s="184" t="str">
        <f ca="1">IFERROR(__xludf.DUMMYFUNCTION("""COMPUTED_VALUE"""),"Humanitarian conditions")</f>
        <v>Humanitarian conditions</v>
      </c>
      <c r="E104" s="183" t="str">
        <f ca="1">IFERROR(__xludf.DUMMYFUNCTION("""COMPUTED_VALUE"""),"Living Standards")</f>
        <v>Living Standards</v>
      </c>
      <c r="F104" s="184" t="str">
        <f ca="1">IFERROR(__xludf.DUMMYFUNCTION("""COMPUTED_VALUE"""),"% of HHs with access to a functional domestic living space")</f>
        <v>% of HHs with access to a functional domestic living space</v>
      </c>
      <c r="G104" s="183"/>
      <c r="H104" s="183"/>
      <c r="I104" s="183"/>
      <c r="J104" s="183"/>
      <c r="K104" s="186">
        <f ca="1">IFERROR(__xludf.DUMMYFUNCTION("""COMPUTED_VALUE"""),1)</f>
        <v>1</v>
      </c>
      <c r="L104" s="183"/>
      <c r="M104" s="183" t="str">
        <f ca="1">IFERROR(__xludf.DUMMYFUNCTION("""COMPUTED_VALUE"""),"Shelter Cluster assessments")</f>
        <v>Shelter Cluster assessments</v>
      </c>
      <c r="N104" s="183" t="str">
        <f ca="1">IFERROR(__xludf.DUMMYFUNCTION("""COMPUTED_VALUE"""),"Area: Less than 10% of HH are settled in Severe or worse conditions
 Household:  HH can perform all core domestic functions without difficulty")</f>
        <v>Area: Less than 10% of HH are settled in Severe or worse conditions
 Household:  HH can perform all core domestic functions without difficulty</v>
      </c>
      <c r="O104" s="183" t="str">
        <f ca="1">IFERROR(__xludf.DUMMYFUNCTION("""COMPUTED_VALUE"""),"Area: More than 10% of HH are settled in Severe or worse conditions
 Household: Some daily domestic activities are compromised but can be performed with additional non-normal effort")</f>
        <v>Area: More than 10% of HH are settled in Severe or worse conditions
 Household: Some daily domestic activities are compromised but can be performed with additional non-normal effort</v>
      </c>
      <c r="P104" s="183" t="str">
        <f ca="1">IFERROR(__xludf.DUMMYFUNCTION("""COMPUTED_VALUE"""),"Area: More than 20% of HH are settled in Severe or worse conditions
 Household: Sleeping or cooking is significantly compromised")</f>
        <v>Area: More than 20% of HH are settled in Severe or worse conditions
 Household: Sleeping or cooking is significantly compromised</v>
      </c>
      <c r="Q104" s="183" t="str">
        <f ca="1">IFERROR(__xludf.DUMMYFUNCTION("""COMPUTED_VALUE"""),"Area: More than 20% of HH are settled in Extreme or Catastrophic conditions
 Household: Sleeping and cooking are significantly compromised")</f>
        <v>Area: More than 20% of HH are settled in Extreme or Catastrophic conditions
 Household: Sleeping and cooking are significantly compromised</v>
      </c>
      <c r="R104" s="183" t="str">
        <f ca="1">IFERROR(__xludf.DUMMYFUNCTION("""COMPUTED_VALUE"""),"Area: More than 40% of HH are settled in Extreme or Catastrophic conditions
 Household: HH can no longer perform any domestic functions")</f>
        <v>Area: More than 40% of HH are settled in Extreme or Catastrophic conditions
 Household: HH can no longer perform any domestic functions</v>
      </c>
      <c r="S104" s="183" t="str">
        <f ca="1">IFERROR(__xludf.DUMMYFUNCTION("""COMPUTED_VALUE"""),"Core functions include: Sleeping, cooking, eating, water, etc. Check with other clusters if soem aspectsa re covered to not duplicate.")</f>
        <v>Core functions include: Sleeping, cooking, eating, water, etc. Check with other clusters if soem aspectsa re covered to not duplicate.</v>
      </c>
    </row>
    <row r="105" spans="1:19" ht="105" hidden="1" customHeight="1">
      <c r="A105" s="159">
        <f ca="1">IFERROR(__xludf.DUMMYFUNCTION("""COMPUTED_VALUE"""),100)</f>
        <v>100</v>
      </c>
      <c r="B105" s="183" t="str">
        <f ca="1">IFERROR(__xludf.DUMMYFUNCTION("""COMPUTED_VALUE"""),"Shelter")</f>
        <v>Shelter</v>
      </c>
      <c r="C105" s="183" t="str">
        <f ca="1">IFERROR(__xludf.DUMMYFUNCTION("""COMPUTED_VALUE"""),"Enclosure")</f>
        <v>Enclosure</v>
      </c>
      <c r="D105" s="183" t="str">
        <f ca="1">IFERROR(__xludf.DUMMYFUNCTION("""COMPUTED_VALUE"""),"Humanitarian conditions")</f>
        <v>Humanitarian conditions</v>
      </c>
      <c r="E105" s="183" t="str">
        <f ca="1">IFERROR(__xludf.DUMMYFUNCTION("""COMPUTED_VALUE"""),"Living Standards")</f>
        <v>Living Standards</v>
      </c>
      <c r="F105" s="183" t="str">
        <f ca="1">IFERROR(__xludf.DUMMYFUNCTION("""COMPUTED_VALUE"""),"% or HHs currently living in unsustainable shelter situations")</f>
        <v>% or HHs currently living in unsustainable shelter situations</v>
      </c>
      <c r="G105" s="183"/>
      <c r="H105" s="183"/>
      <c r="I105" s="183"/>
      <c r="J105" s="183"/>
      <c r="K105" s="186">
        <f ca="1">IFERROR(__xludf.DUMMYFUNCTION("""COMPUTED_VALUE"""),1)</f>
        <v>1</v>
      </c>
      <c r="L105" s="183"/>
      <c r="M105" s="183" t="str">
        <f ca="1">IFERROR(__xludf.DUMMYFUNCTION("""COMPUTED_VALUE"""),"Shelter Cluster assessments")</f>
        <v>Shelter Cluster assessments</v>
      </c>
      <c r="N105" s="183" t="str">
        <f ca="1">IFERROR(__xludf.DUMMYFUNCTION("""COMPUTED_VALUE"""),"Area: Very few (&lt;10%) of HHs is living in unfinished buildings, collective centres, organized camps, informal settlements, open areas.")</f>
        <v>Area: Very few (&lt;10%) of HHs is living in unfinished buildings, collective centres, organized camps, informal settlements, open areas.</v>
      </c>
      <c r="O105" s="183" t="str">
        <f ca="1">IFERROR(__xludf.DUMMYFUNCTION("""COMPUTED_VALUE"""),"Area:  10% to 50% of HHs live in unfinished buildings, collective centres, organized camps, informal settlements, open areas")</f>
        <v>Area:  10% to 50% of HHs live in unfinished buildings, collective centres, organized camps, informal settlements, open areas</v>
      </c>
      <c r="P105" s="183" t="str">
        <f ca="1">IFERROR(__xludf.DUMMYFUNCTION("""COMPUTED_VALUE"""),"Area: Over 50% to 70% of HHs live in unfinished buildings, collective centres, organized camps, informal settlements, open areas")</f>
        <v>Area: Over 50% to 70% of HHs live in unfinished buildings, collective centres, organized camps, informal settlements, open areas</v>
      </c>
      <c r="Q105" s="183" t="str">
        <f ca="1">IFERROR(__xludf.DUMMYFUNCTION("""COMPUTED_VALUE"""),"Area: Over 70% to 90% of HHs live in unfinished buildings, collective centres, organized camps, informal settlements, open areas")</f>
        <v>Area: Over 70% to 90% of HHs live in unfinished buildings, collective centres, organized camps, informal settlements, open areas</v>
      </c>
      <c r="R105" s="183" t="str">
        <f ca="1">IFERROR(__xludf.DUMMYFUNCTION("""COMPUTED_VALUE"""),"Area: Over 90% of HHs live in unfinished buildings, collective centres, organized camps, informal settlements, open areas")</f>
        <v>Area: Over 90% of HHs live in unfinished buildings, collective centres, organized camps, informal settlements, open areas</v>
      </c>
      <c r="S105" s="183"/>
    </row>
    <row r="106" spans="1:19" ht="105" hidden="1" customHeight="1">
      <c r="A106" s="159">
        <f ca="1">IFERROR(__xludf.DUMMYFUNCTION("""COMPUTED_VALUE"""),101)</f>
        <v>101</v>
      </c>
      <c r="B106" s="183" t="str">
        <f ca="1">IFERROR(__xludf.DUMMYFUNCTION("""COMPUTED_VALUE"""),"Shelter")</f>
        <v>Shelter</v>
      </c>
      <c r="C106" s="184" t="str">
        <f ca="1">IFERROR(__xludf.DUMMYFUNCTION("""COMPUTED_VALUE"""),"Enclosure")</f>
        <v>Enclosure</v>
      </c>
      <c r="D106" s="183" t="str">
        <f ca="1">IFERROR(__xludf.DUMMYFUNCTION("""COMPUTED_VALUE"""),"Impact")</f>
        <v>Impact</v>
      </c>
      <c r="E106" s="184" t="str">
        <f ca="1">IFERROR(__xludf.DUMMYFUNCTION("""COMPUTED_VALUE"""),"Impact on people")</f>
        <v>Impact on people</v>
      </c>
      <c r="F106" s="184" t="str">
        <f ca="1">IFERROR(__xludf.DUMMYFUNCTION("""COMPUTED_VALUE"""),"(Alternate) % of HHs whose original house was damaged resulting from the impacts of a disaster/conflict")</f>
        <v>(Alternate) % of HHs whose original house was damaged resulting from the impacts of a disaster/conflict</v>
      </c>
      <c r="G106" s="183"/>
      <c r="H106" s="183"/>
      <c r="I106" s="183"/>
      <c r="J106" s="183"/>
      <c r="K106" s="186">
        <f ca="1">IFERROR(__xludf.DUMMYFUNCTION("""COMPUTED_VALUE"""),2)</f>
        <v>2</v>
      </c>
      <c r="L106" s="183" t="str">
        <f ca="1">IFERROR(__xludf.DUMMYFUNCTION("""COMPUTED_VALUE"""),"HH/KII")</f>
        <v>HH/KII</v>
      </c>
      <c r="M106" s="183" t="str">
        <f ca="1">IFERROR(__xludf.DUMMYFUNCTION("""COMPUTED_VALUE"""),"Shelter Cluster assessments")</f>
        <v>Shelter Cluster assessments</v>
      </c>
      <c r="N106" s="183" t="str">
        <f ca="1">IFERROR(__xludf.DUMMYFUNCTION("""COMPUTED_VALUE"""),"Household:  Dwelling unit remains structurally safe following the disaster/conflict and encloses the residents and their property so that they are warm, dry, and secure. Little or no intervention required.")</f>
        <v>Household:  Dwelling unit remains structurally safe following the disaster/conflict and encloses the residents and their property so that they are warm, dry, and secure. Little or no intervention required.</v>
      </c>
      <c r="O106" s="183" t="str">
        <f ca="1">IFERROR(__xludf.DUMMYFUNCTION("""COMPUTED_VALUE"""),"Household: Dwelling enclosure may show cosmetic deficiencies following disaster/conflict but maintains healthy structural and performance standards for enclosure with possible minor repairable deficiencies.")</f>
        <v>Household: Dwelling enclosure may show cosmetic deficiencies following disaster/conflict but maintains healthy structural and performance standards for enclosure with possible minor repairable deficiencies.</v>
      </c>
      <c r="P106" s="183" t="str">
        <f ca="1">IFERROR(__xludf.DUMMYFUNCTION("""COMPUTED_VALUE"""),"Household: Dwelling enclosure performance is moderately compromised due to disaster/conflict and extended living in this state can lead to health deterioration, loss or damage to possessions, or deterioration of building enclosure integrity. Repairs are r"&amp;"equired.")</f>
        <v>Household: Dwelling enclosure performance is moderately compromised due to disaster/conflict and extended living in this state can lead to health deterioration, loss or damage to possessions, or deterioration of building enclosure integrity. Repairs are required.</v>
      </c>
      <c r="Q106" s="183" t="str">
        <f ca="1">IFERROR(__xludf.DUMMYFUNCTION("""COMPUTED_VALUE"""),"Household: Dwelling enclosure performance is significantly compromised due to disaster/conflict so that occupant health is at risk. Significant water/air permeance is present. Some minor privacy may be present but enclosure probably will not secure posses"&amp;"sions. Significant contruction required.")</f>
        <v>Household: Dwelling enclosure performance is significantly compromised due to disaster/conflict so that occupant health is at risk. Significant water/air permeance is present. Some minor privacy may be present but enclosure probably will not secure possessions. Significant contruction required.</v>
      </c>
      <c r="R106" s="183" t="str">
        <f ca="1">IFERROR(__xludf.DUMMYFUNCTION("""COMPUTED_VALUE"""),"Household: Total loss of building enclosure due to disaster/conflict with little or no prevention to water or weather permeance, unsafe and unhealthy living, and will require occupant to find new accomodation immediately and/or rebuild.")</f>
        <v>Household: Total loss of building enclosure due to disaster/conflict with little or no prevention to water or weather permeance, unsafe and unhealthy living, and will require occupant to find new accomodation immediately and/or rebuild.</v>
      </c>
      <c r="S106" s="183"/>
    </row>
    <row r="107" spans="1:19" ht="105" hidden="1" customHeight="1">
      <c r="A107" s="159">
        <f ca="1">IFERROR(__xludf.DUMMYFUNCTION("""COMPUTED_VALUE"""),102)</f>
        <v>102</v>
      </c>
      <c r="B107" s="184" t="str">
        <f ca="1">IFERROR(__xludf.DUMMYFUNCTION("""COMPUTED_VALUE"""),"Shelter")</f>
        <v>Shelter</v>
      </c>
      <c r="C107" s="184" t="str">
        <f ca="1">IFERROR(__xludf.DUMMYFUNCTION("""COMPUTED_VALUE"""),"Settlement")</f>
        <v>Settlement</v>
      </c>
      <c r="D107" s="184" t="str">
        <f ca="1">IFERROR(__xludf.DUMMYFUNCTION("""COMPUTED_VALUE"""),"Impact")</f>
        <v>Impact</v>
      </c>
      <c r="E107" s="184" t="str">
        <f ca="1">IFERROR(__xludf.DUMMYFUNCTION("""COMPUTED_VALUE"""),"Impact on people")</f>
        <v>Impact on people</v>
      </c>
      <c r="F107" s="184" t="str">
        <f ca="1">IFERROR(__xludf.DUMMYFUNCTION("""COMPUTED_VALUE"""),"% of HHs who are displaced due to community/regional hazards")</f>
        <v>% of HHs who are displaced due to community/regional hazards</v>
      </c>
      <c r="G107" s="183"/>
      <c r="H107" s="183"/>
      <c r="I107" s="183"/>
      <c r="J107" s="183"/>
      <c r="K107" s="183"/>
      <c r="L107" s="183"/>
      <c r="M107" s="183"/>
      <c r="N107" s="183" t="str">
        <f ca="1">IFERROR(__xludf.DUMMYFUNCTION("""COMPUTED_VALUE"""),"Household:  Household is not displaced due to community hazards.  no community hazards and been identified andHH is not displaced.")</f>
        <v>Household:  Household is not displaced due to community hazards.  no community hazards and been identified andHH is not displaced.</v>
      </c>
      <c r="O107" s="183" t="str">
        <f ca="1">IFERROR(__xludf.DUMMYFUNCTION("""COMPUTED_VALUE"""),"Household:  Household is not likely to displace despite present community hazards.")</f>
        <v>Household:  Household is not likely to displace despite present community hazards.</v>
      </c>
      <c r="P107" s="183" t="str">
        <f ca="1">IFERROR(__xludf.DUMMYFUNCTION("""COMPUTED_VALUE"""),"Household:  Hosuehold is considering displacement due to threat of community hazard.")</f>
        <v>Household:  Hosuehold is considering displacement due to threat of community hazard.</v>
      </c>
      <c r="Q107" s="183" t="str">
        <f ca="1">IFERROR(__xludf.DUMMYFUNCTION("""COMPUTED_VALUE"""),"Household:  Household is going to imanently displaced due to present community hazards.")</f>
        <v>Household:  Household is going to imanently displaced due to present community hazards.</v>
      </c>
      <c r="R107" s="183" t="str">
        <f ca="1">IFERROR(__xludf.DUMMYFUNCTION("""COMPUTED_VALUE"""),"Household:  Household has been displaced due to community hazards (in their area of origin?)")</f>
        <v>Household:  Household has been displaced due to community hazards (in their area of origin?)</v>
      </c>
      <c r="S107" s="183"/>
    </row>
    <row r="108" spans="1:19" ht="105" hidden="1" customHeight="1">
      <c r="A108" s="159">
        <f ca="1">IFERROR(__xludf.DUMMYFUNCTION("""COMPUTED_VALUE"""),103)</f>
        <v>103</v>
      </c>
      <c r="B108" s="183" t="str">
        <f ca="1">IFERROR(__xludf.DUMMYFUNCTION("""COMPUTED_VALUE"""),"Shelter")</f>
        <v>Shelter</v>
      </c>
      <c r="C108" s="184" t="str">
        <f ca="1">IFERROR(__xludf.DUMMYFUNCTION("""COMPUTED_VALUE"""),"Settlement")</f>
        <v>Settlement</v>
      </c>
      <c r="D108" s="184" t="str">
        <f ca="1">IFERROR(__xludf.DUMMYFUNCTION("""COMPUTED_VALUE"""),"Impact")</f>
        <v>Impact</v>
      </c>
      <c r="E108" s="184" t="str">
        <f ca="1">IFERROR(__xludf.DUMMYFUNCTION("""COMPUTED_VALUE"""),"Impact on people")</f>
        <v>Impact on people</v>
      </c>
      <c r="F108" s="184" t="str">
        <f ca="1">IFERROR(__xludf.DUMMYFUNCTION("""COMPUTED_VALUE"""),"% of HHs whose possessions are being affected by community/regional hazards")</f>
        <v>% of HHs whose possessions are being affected by community/regional hazards</v>
      </c>
      <c r="G108" s="183"/>
      <c r="H108" s="183"/>
      <c r="I108" s="183"/>
      <c r="J108" s="183"/>
      <c r="K108" s="183"/>
      <c r="L108" s="183"/>
      <c r="M108" s="183"/>
      <c r="N108" s="184" t="str">
        <f ca="1">IFERROR(__xludf.DUMMYFUNCTION("""COMPUTED_VALUE"""),"Household possessions are secure.  No community hazards and been identified andHH possessions are not at risk.")</f>
        <v>Household possessions are secure.  No community hazards and been identified andHH possessions are not at risk.</v>
      </c>
      <c r="O108" s="184" t="str">
        <f ca="1">IFERROR(__xludf.DUMMYFUNCTION("""COMPUTED_VALUE"""),"Hosuehold:  Household possessions are currently intact although community hazards are present.")</f>
        <v>Hosuehold:  Household possessions are currently intact although community hazards are present.</v>
      </c>
      <c r="P108" s="184" t="str">
        <f ca="1">IFERROR(__xludf.DUMMYFUNCTION("""COMPUTED_VALUE"""),"Household:  Some household possessions have been damaged due to community hazards but some may be reclaimable.")</f>
        <v>Household:  Some household possessions have been damaged due to community hazards but some may be reclaimable.</v>
      </c>
      <c r="Q108" s="184" t="str">
        <f ca="1">IFERROR(__xludf.DUMMYFUNCTION("""COMPUTED_VALUE"""),"Household:  Many household items have been damaged or destroyed due to community hazards.")</f>
        <v>Household:  Many household items have been damaged or destroyed due to community hazards.</v>
      </c>
      <c r="R108" s="184" t="str">
        <f ca="1">IFERROR(__xludf.DUMMYFUNCTION("""COMPUTED_VALUE"""),"Household:  Household has lost all of their possessions.")</f>
        <v>Household:  Household has lost all of their possessions.</v>
      </c>
      <c r="S108" s="183"/>
    </row>
    <row r="109" spans="1:19" ht="105" hidden="1" customHeight="1">
      <c r="A109" s="159">
        <f ca="1">IFERROR(__xludf.DUMMYFUNCTION("""COMPUTED_VALUE"""),104)</f>
        <v>104</v>
      </c>
      <c r="B109" s="183" t="str">
        <f ca="1">IFERROR(__xludf.DUMMYFUNCTION("""COMPUTED_VALUE"""),"Shelter")</f>
        <v>Shelter</v>
      </c>
      <c r="C109" s="183" t="str">
        <f ca="1">IFERROR(__xludf.DUMMYFUNCTION("""COMPUTED_VALUE"""),"Settlement")</f>
        <v>Settlement</v>
      </c>
      <c r="D109" s="183" t="str">
        <f ca="1">IFERROR(__xludf.DUMMYFUNCTION("""COMPUTED_VALUE"""),"Humanitarian conditions")</f>
        <v>Humanitarian conditions</v>
      </c>
      <c r="E109" s="183" t="str">
        <f ca="1">IFERROR(__xludf.DUMMYFUNCTION("""COMPUTED_VALUE"""),"Living Standards")</f>
        <v>Living Standards</v>
      </c>
      <c r="F109" s="183" t="str">
        <f ca="1">IFERROR(__xludf.DUMMYFUNCTION("""COMPUTED_VALUE"""),"(alternate) % of HHs with safe access to market for shelter-related items within an acceptable amount of time or distance")</f>
        <v>(alternate) % of HHs with safe access to market for shelter-related items within an acceptable amount of time or distance</v>
      </c>
      <c r="G109" s="183"/>
      <c r="H109" s="183"/>
      <c r="I109" s="183"/>
      <c r="J109" s="183"/>
      <c r="K109" s="186">
        <f ca="1">IFERROR(__xludf.DUMMYFUNCTION("""COMPUTED_VALUE"""),1)</f>
        <v>1</v>
      </c>
      <c r="L109" s="183" t="str">
        <f ca="1">IFERROR(__xludf.DUMMYFUNCTION("""COMPUTED_VALUE"""),"KII/HH")</f>
        <v>KII/HH</v>
      </c>
      <c r="M109" s="183" t="str">
        <f ca="1">IFERROR(__xludf.DUMMYFUNCTION("""COMPUTED_VALUE"""),"Shelter Cluster assessments")</f>
        <v>Shelter Cluster assessments</v>
      </c>
      <c r="N109" s="183" t="str">
        <f ca="1">IFERROR(__xludf.DUMMYFUNCTION("""COMPUTED_VALUE"""),"Overall:  HHs are able to physically access needed shelter materials/NFIs in markets, materials are affordable and good quality
Subset Market Access: HH has access to market for shelter/NFI items within a 30 min walking distance (one way)")</f>
        <v>Overall:  HHs are able to physically access needed shelter materials/NFIs in markets, materials are affordable and good quality
Subset Market Access: HH has access to market for shelter/NFI items within a 30 min walking distance (one way)</v>
      </c>
      <c r="O109" s="183" t="str">
        <f ca="1">IFERROR(__xludf.DUMMYFUNCTION("""COMPUTED_VALUE"""),"Overall:  HHs are able to physically access needed shelter materials/NFIs in markets, but materials are expensive or low quality
Subset Market Access: HH has access to market for shelter/NFI items within a one hour walking distance (one way)")</f>
        <v>Overall:  HHs are able to physically access needed shelter materials/NFIs in markets, but materials are expensive or low quality
Subset Market Access: HH has access to market for shelter/NFI items within a one hour walking distance (one way)</v>
      </c>
      <c r="P109" s="183" t="str">
        <f ca="1">IFERROR(__xludf.DUMMYFUNCTION("""COMPUTED_VALUE"""),"Overall:  HHs are able to physically access needed shelter materials/NFIs in markets, but materials are unaffordable AND poor quality
Subset Market Access: HH has access to market for shelter/NFI items within a 1h30 min walking distance (one way)")</f>
        <v>Overall:  HHs are able to physically access needed shelter materials/NFIs in markets, but materials are unaffordable AND poor quality
Subset Market Access: HH has access to market for shelter/NFI items within a 1h30 min walking distance (one way)</v>
      </c>
      <c r="Q109" s="183" t="str">
        <f ca="1">IFERROR(__xludf.DUMMYFUNCTION("""COMPUTED_VALUE"""),"Overall: HHs are NOT able to physically access some needed shelter materials/NFIs in (functional) local markets. Shelter materials are unaffordable AND poor quality
Subset Market Access: Access to market for shelter/NFI items within a 2h walking distanc"&amp;"e (one way)")</f>
        <v>Overall: HHs are NOT able to physically access some needed shelter materials/NFIs in (functional) local markets. Shelter materials are unaffordable AND poor quality
Subset Market Access: Access to market for shelter/NFI items within a 2h walking distance (one way)</v>
      </c>
      <c r="R109" s="183" t="str">
        <f ca="1">IFERROR(__xludf.DUMMYFUNCTION("""COMPUTED_VALUE"""),"Overall: Markets for shelter-related items are not present or non-functional so there is no access to needed items.
Subset Market Access: No market for shelter/NFI items accessible within a 2h walking distance (one way)")</f>
        <v>Overall: Markets for shelter-related items are not present or non-functional so there is no access to needed items.
Subset Market Access: No market for shelter/NFI items accessible within a 2h walking distance (one way)</v>
      </c>
      <c r="S109" s="183"/>
    </row>
    <row r="110" spans="1:19" ht="105" hidden="1" customHeight="1">
      <c r="A110" s="159">
        <f ca="1">IFERROR(__xludf.DUMMYFUNCTION("""COMPUTED_VALUE"""),105)</f>
        <v>105</v>
      </c>
      <c r="B110" s="183" t="str">
        <f ca="1">IFERROR(__xludf.DUMMYFUNCTION("""COMPUTED_VALUE"""),"Shelter")</f>
        <v>Shelter</v>
      </c>
      <c r="C110" s="183" t="str">
        <f ca="1">IFERROR(__xludf.DUMMYFUNCTION("""COMPUTED_VALUE"""),"Settlement")</f>
        <v>Settlement</v>
      </c>
      <c r="D110" s="183" t="str">
        <f ca="1">IFERROR(__xludf.DUMMYFUNCTION("""COMPUTED_VALUE"""),"Humanitarian conditions")</f>
        <v>Humanitarian conditions</v>
      </c>
      <c r="E110" s="183" t="str">
        <f ca="1">IFERROR(__xludf.DUMMYFUNCTION("""COMPUTED_VALUE"""),"Living Standards")</f>
        <v>Living Standards</v>
      </c>
      <c r="F110" s="183" t="str">
        <f ca="1">IFERROR(__xludf.DUMMYFUNCTION("""COMPUTED_VALUE"""),"% of HH with access to basic infrastructures and essential services")</f>
        <v>% of HH with access to basic infrastructures and essential services</v>
      </c>
      <c r="G110" s="183"/>
      <c r="H110" s="183"/>
      <c r="I110" s="183"/>
      <c r="J110" s="183"/>
      <c r="K110" s="186">
        <f ca="1">IFERROR(__xludf.DUMMYFUNCTION("""COMPUTED_VALUE"""),1)</f>
        <v>1</v>
      </c>
      <c r="L110" s="183" t="str">
        <f ca="1">IFERROR(__xludf.DUMMYFUNCTION("""COMPUTED_VALUE"""),"KII/HH")</f>
        <v>KII/HH</v>
      </c>
      <c r="M110" s="183" t="str">
        <f ca="1">IFERROR(__xludf.DUMMYFUNCTION("""COMPUTED_VALUE"""),"Shelter Cluster assessments")</f>
        <v>Shelter Cluster assessments</v>
      </c>
      <c r="N110" s="183" t="str">
        <f ca="1">IFERROR(__xludf.DUMMYFUNCTION("""COMPUTED_VALUE"""),"Area:  Less than 10% of HH are settled in Severe or worse conditions
Household: Household has predictable access to essential (public) services and utilities (water, electricity, sewage), road access is clear, and easy access to functional local markets")</f>
        <v>Area:  Less than 10% of HH are settled in Severe or worse conditions
Household: Household has predictable access to essential (public) services and utilities (water, electricity, sewage), road access is clear, and easy access to functional local markets</v>
      </c>
      <c r="O110" s="183" t="str">
        <f ca="1">IFERROR(__xludf.DUMMYFUNCTION("""COMPUTED_VALUE"""),"Area:  More than 10% of HH are settled in Severe or worse conditions
Household:  Household is lightly impaired through (predictable) disruptions to essential services")</f>
        <v>Area:  More than 10% of HH are settled in Severe or worse conditions
Household:  Household is lightly impaired through (predictable) disruptions to essential services</v>
      </c>
      <c r="P110" s="183" t="str">
        <f ca="1">IFERROR(__xludf.DUMMYFUNCTION("""COMPUTED_VALUE"""),"Area: More than 20% of HH are settled in Severe or worse conditions
Household: Household is moderately impaired by substantial disruptions to essential services or utilities, road access and accessibility to markets")</f>
        <v>Area: More than 20% of HH are settled in Severe or worse conditions
Household: Household is moderately impaired by substantial disruptions to essential services or utilities, road access and accessibility to markets</v>
      </c>
      <c r="Q110" s="183" t="str">
        <f ca="1">IFERROR(__xludf.DUMMYFUNCTION("""COMPUTED_VALUE"""),"Area: More than 20% of HH are settled in Extreme or Catastrophic conditions
Household: Household is severely impaired by disruptions to services, utilities, road access and market functionality.")</f>
        <v>Area: More than 20% of HH are settled in Extreme or Catastrophic conditions
Household: Household is severely impaired by disruptions to services, utilities, road access and market functionality.</v>
      </c>
      <c r="R110" s="183" t="str">
        <f ca="1">IFERROR(__xludf.DUMMYFUNCTION("""COMPUTED_VALUE"""),"Area: More than 40% of HH are settled in Extreme or Catastrophic conditions
Household: Household is completely impaired through isolation from all essential services, road access, and market access")</f>
        <v>Area: More than 40% of HH are settled in Extreme or Catastrophic conditions
Household: Household is completely impaired through isolation from all essential services, road access, and market access</v>
      </c>
      <c r="S110" s="183"/>
    </row>
    <row r="111" spans="1:19" ht="105" hidden="1" customHeight="1">
      <c r="A111" s="159">
        <f ca="1">IFERROR(__xludf.DUMMYFUNCTION("""COMPUTED_VALUE"""),106)</f>
        <v>106</v>
      </c>
      <c r="B111" s="183" t="str">
        <f ca="1">IFERROR(__xludf.DUMMYFUNCTION("""COMPUTED_VALUE"""),"Shelter")</f>
        <v>Shelter</v>
      </c>
      <c r="C111" s="184" t="str">
        <f ca="1">IFERROR(__xludf.DUMMYFUNCTION("""COMPUTED_VALUE"""),"Settlement")</f>
        <v>Settlement</v>
      </c>
      <c r="D111" s="183" t="str">
        <f ca="1">IFERROR(__xludf.DUMMYFUNCTION("""COMPUTED_VALUE"""),"Humanitarian conditions")</f>
        <v>Humanitarian conditions</v>
      </c>
      <c r="E111" s="183" t="str">
        <f ca="1">IFERROR(__xludf.DUMMYFUNCTION("""COMPUTED_VALUE"""),"Living Standards")</f>
        <v>Living Standards</v>
      </c>
      <c r="F111" s="184" t="str">
        <f ca="1">IFERROR(__xludf.DUMMYFUNCTION("""COMPUTED_VALUE"""),"% of HHs who are currently living in unsafe/unhealthy areas affected by community hazards")</f>
        <v>% of HHs who are currently living in unsafe/unhealthy areas affected by community hazards</v>
      </c>
      <c r="G111" s="183"/>
      <c r="H111" s="183"/>
      <c r="I111" s="183"/>
      <c r="J111" s="183"/>
      <c r="K111" s="183"/>
      <c r="L111" s="183"/>
      <c r="M111" s="183"/>
      <c r="N111" s="184" t="str">
        <f ca="1">IFERROR(__xludf.DUMMYFUNCTION("""COMPUTED_VALUE"""),"Household:  Household is safe and protected from community hazards.  no community hazards have been identified")</f>
        <v>Household:  Household is safe and protected from community hazards.  no community hazards have been identified</v>
      </c>
      <c r="O111" s="184" t="str">
        <f ca="1">IFERROR(__xludf.DUMMYFUNCTION("""COMPUTED_VALUE"""),"Household:  Household is mostly safe and protected from community hazards.  Some community hazards are present but household is isolated from them.")</f>
        <v>Household:  Household is mostly safe and protected from community hazards.  Some community hazards are present but household is isolated from them.</v>
      </c>
      <c r="P111" s="184" t="str">
        <f ca="1">IFERROR(__xludf.DUMMYFUNCTION("""COMPUTED_VALUE"""),"Household:  Household is moderately unsafe due to community level hazards.  Community hazards have been identified and although the household may not have been affected yet there is a high likelihood of impact.")</f>
        <v>Household:  Household is moderately unsafe due to community level hazards.  Community hazards have been identified and although the household may not have been affected yet there is a high likelihood of impact.</v>
      </c>
      <c r="Q111" s="184" t="str">
        <f ca="1">IFERROR(__xludf.DUMMYFUNCTION("""COMPUTED_VALUE"""),"Household:  Household is severely unsafe due to community hazards.  Hazards are present and the household has been affected.")</f>
        <v>Household:  Household is severely unsafe due to community hazards.  Hazards are present and the household has been affected.</v>
      </c>
      <c r="R111" s="184" t="str">
        <f ca="1">IFERROR(__xludf.DUMMYFUNCTION("""COMPUTED_VALUE"""),"Household:  Household is severely unsafe due to community hazards.  Hazards are present and the household has been irreversibly affected.")</f>
        <v>Household:  Household is severely unsafe due to community hazards.  Hazards are present and the household has been irreversibly affected.</v>
      </c>
      <c r="S111" s="183"/>
    </row>
    <row r="112" spans="1:19" ht="105" hidden="1" customHeight="1">
      <c r="A112" s="159">
        <f ca="1">IFERROR(__xludf.DUMMYFUNCTION("""COMPUTED_VALUE"""),107)</f>
        <v>107</v>
      </c>
      <c r="B112" s="183" t="str">
        <f ca="1">IFERROR(__xludf.DUMMYFUNCTION("""COMPUTED_VALUE"""),"Shelter")</f>
        <v>Shelter</v>
      </c>
      <c r="C112" s="183" t="str">
        <f ca="1">IFERROR(__xludf.DUMMYFUNCTION("""COMPUTED_VALUE"""),"Settlement")</f>
        <v>Settlement</v>
      </c>
      <c r="D112" s="183" t="str">
        <f ca="1">IFERROR(__xludf.DUMMYFUNCTION("""COMPUTED_VALUE"""),"Humanitarian conditions")</f>
        <v>Humanitarian conditions</v>
      </c>
      <c r="E112" s="183" t="str">
        <f ca="1">IFERROR(__xludf.DUMMYFUNCTION("""COMPUTED_VALUE"""),"Living Standards")</f>
        <v>Living Standards</v>
      </c>
      <c r="F112" s="183" t="str">
        <f ca="1">IFERROR(__xludf.DUMMYFUNCTION("""COMPUTED_VALUE"""),"% of HHs without clear security of tenure within their community")</f>
        <v>% of HHs without clear security of tenure within their community</v>
      </c>
      <c r="G112" s="183"/>
      <c r="H112" s="183"/>
      <c r="I112" s="183"/>
      <c r="J112" s="183"/>
      <c r="K112" s="186">
        <f ca="1">IFERROR(__xludf.DUMMYFUNCTION("""COMPUTED_VALUE"""),1)</f>
        <v>1</v>
      </c>
      <c r="L112" s="183" t="str">
        <f ca="1">IFERROR(__xludf.DUMMYFUNCTION("""COMPUTED_VALUE"""),"KII/HH")</f>
        <v>KII/HH</v>
      </c>
      <c r="M112" s="183" t="str">
        <f ca="1">IFERROR(__xludf.DUMMYFUNCTION("""COMPUTED_VALUE"""),"Shelter Cluster assessments")</f>
        <v>Shelter Cluster assessments</v>
      </c>
      <c r="N112" s="183" t="str">
        <f ca="1">IFERROR(__xludf.DUMMYFUNCTION("""COMPUTED_VALUE"""),"Less than 10% of HH are settled in Severe or worse conditions
Household: HH has tenure security with no HLP issues (clear ownership, rental agreements, rights are enforced, etc.)")</f>
        <v>Less than 10% of HH are settled in Severe or worse conditions
Household: HH has tenure security with no HLP issues (clear ownership, rental agreements, rights are enforced, etc.)</v>
      </c>
      <c r="O112" s="183" t="str">
        <f ca="1">IFERROR(__xludf.DUMMYFUNCTION("""COMPUTED_VALUE"""),"More than 10% of HH are settled in Severe or worse conditions
Household:  HH has tenure security with minor HLP issues")</f>
        <v>More than 10% of HH are settled in Severe or worse conditions
Household:  HH has tenure security with minor HLP issues</v>
      </c>
      <c r="P112" s="183" t="str">
        <f ca="1">IFERROR(__xludf.DUMMYFUNCTION("""COMPUTED_VALUE"""),"More than 20% of HH are settled in Severe or worse conditions
 Household: HH has tenure security with significant HLP issues")</f>
        <v>More than 20% of HH are settled in Severe or worse conditions
 Household: HH has tenure security with significant HLP issues</v>
      </c>
      <c r="Q112" s="183" t="str">
        <f ca="1">IFERROR(__xludf.DUMMYFUNCTION("""COMPUTED_VALUE"""),"More than 20% of HH are settled in Extreme or Catastrophic conditions
Household:  HH has no tenure security with significant HLP issues")</f>
        <v>More than 20% of HH are settled in Extreme or Catastrophic conditions
Household:  HH has no tenure security with significant HLP issues</v>
      </c>
      <c r="R112" s="183" t="str">
        <f ca="1">IFERROR(__xludf.DUMMYFUNCTION("""COMPUTED_VALUE"""),"More than 40% of HH are settled in Extreme or Catastrophic conditions
 Household: HH has no tenure security and is evicted with major HLP issues")</f>
        <v>More than 40% of HH are settled in Extreme or Catastrophic conditions
 Household: HH has no tenure security and is evicted with major HLP issues</v>
      </c>
      <c r="S112" s="183"/>
    </row>
    <row r="113" spans="1:19" ht="105" hidden="1" customHeight="1">
      <c r="A113" s="159">
        <f ca="1">IFERROR(__xludf.DUMMYFUNCTION("""COMPUTED_VALUE"""),108)</f>
        <v>108</v>
      </c>
      <c r="B113" s="187" t="str">
        <f ca="1">IFERROR(__xludf.DUMMYFUNCTION("""COMPUTED_VALUE"""),"WASH")</f>
        <v>WASH</v>
      </c>
      <c r="C113" s="187" t="str">
        <f ca="1">IFERROR(__xludf.DUMMYFUNCTION("""COMPUTED_VALUE"""),"Hygiene")</f>
        <v>Hygiene</v>
      </c>
      <c r="D113" s="187" t="str">
        <f ca="1">IFERROR(__xludf.DUMMYFUNCTION("""COMPUTED_VALUE"""),"Humanitarian conditions")</f>
        <v>Humanitarian conditions</v>
      </c>
      <c r="E113" s="187" t="str">
        <f ca="1">IFERROR(__xludf.DUMMYFUNCTION("""COMPUTED_VALUE"""),"Coping Mechanisms")</f>
        <v>Coping Mechanisms</v>
      </c>
      <c r="F113" s="187" t="str">
        <f ca="1">IFERROR(__xludf.DUMMYFUNCTION("""COMPUTED_VALUE"""),"% of HHs engaging in negative coping mechanisms to WASH access issues")</f>
        <v>% of HHs engaging in negative coping mechanisms to WASH access issues</v>
      </c>
      <c r="G113" s="187"/>
      <c r="H113" s="187"/>
      <c r="I113" s="187"/>
      <c r="J113" s="187"/>
      <c r="K113" s="188">
        <f ca="1">IFERROR(__xludf.DUMMYFUNCTION("""COMPUTED_VALUE"""),3)</f>
        <v>3</v>
      </c>
      <c r="L113" s="187" t="str">
        <f ca="1">IFERROR(__xludf.DUMMYFUNCTION("""COMPUTED_VALUE"""),"HH survey / KI")</f>
        <v>HH survey / KI</v>
      </c>
      <c r="M113" s="187" t="str">
        <f ca="1">IFERROR(__xludf.DUMMYFUNCTION("""COMPUTED_VALUE"""),"WASH Specific assessments / MSNA / DTM")</f>
        <v>WASH Specific assessments / MSNA / DTM</v>
      </c>
      <c r="N113" s="187" t="str">
        <f ca="1">IFERROR(__xludf.DUMMYFUNCTION("""COMPUTED_VALUE"""),"0-20")</f>
        <v>0-20</v>
      </c>
      <c r="O113" s="187" t="str">
        <f ca="1">IFERROR(__xludf.DUMMYFUNCTION("""COMPUTED_VALUE"""),"21-40")</f>
        <v>21-40</v>
      </c>
      <c r="P113" s="187" t="str">
        <f ca="1">IFERROR(__xludf.DUMMYFUNCTION("""COMPUTED_VALUE"""),"41-60")</f>
        <v>41-60</v>
      </c>
      <c r="Q113" s="187" t="str">
        <f ca="1">IFERROR(__xludf.DUMMYFUNCTION("""COMPUTED_VALUE"""),"61-80")</f>
        <v>61-80</v>
      </c>
      <c r="R113" s="187" t="str">
        <f ca="1">IFERROR(__xludf.DUMMYFUNCTION("""COMPUTED_VALUE"""),"81-100")</f>
        <v>81-100</v>
      </c>
      <c r="S113" s="187"/>
    </row>
    <row r="114" spans="1:19" ht="105" hidden="1" customHeight="1">
      <c r="A114" s="159">
        <f ca="1">IFERROR(__xludf.DUMMYFUNCTION("""COMPUTED_VALUE"""),109)</f>
        <v>109</v>
      </c>
      <c r="B114" s="187" t="str">
        <f ca="1">IFERROR(__xludf.DUMMYFUNCTION("""COMPUTED_VALUE"""),"WASH")</f>
        <v>WASH</v>
      </c>
      <c r="C114" s="187" t="str">
        <f ca="1">IFERROR(__xludf.DUMMYFUNCTION("""COMPUTED_VALUE"""),"Hygiene")</f>
        <v>Hygiene</v>
      </c>
      <c r="D114" s="187" t="str">
        <f ca="1">IFERROR(__xludf.DUMMYFUNCTION("""COMPUTED_VALUE"""),"Humanitarian conditions")</f>
        <v>Humanitarian conditions</v>
      </c>
      <c r="E114" s="187" t="str">
        <f ca="1">IFERROR(__xludf.DUMMYFUNCTION("""COMPUTED_VALUE"""),"Physical and Mental Wellbeing")</f>
        <v>Physical and Mental Wellbeing</v>
      </c>
      <c r="F114" s="187" t="str">
        <f ca="1">IFERROR(__xludf.DUMMYFUNCTION("""COMPUTED_VALUE"""),"% of HHs having access to sufficient handwashing facilities")</f>
        <v>% of HHs having access to sufficient handwashing facilities</v>
      </c>
      <c r="G114" s="187"/>
      <c r="H114" s="187"/>
      <c r="I114" s="187"/>
      <c r="J114" s="187"/>
      <c r="K114" s="188">
        <f ca="1">IFERROR(__xludf.DUMMYFUNCTION("""COMPUTED_VALUE"""),1)</f>
        <v>1</v>
      </c>
      <c r="L114" s="187" t="str">
        <f ca="1">IFERROR(__xludf.DUMMYFUNCTION("""COMPUTED_VALUE"""),"HH survey / KI")</f>
        <v>HH survey / KI</v>
      </c>
      <c r="M114" s="187" t="str">
        <f ca="1">IFERROR(__xludf.DUMMYFUNCTION("""COMPUTED_VALUE"""),"WASH Specific assessments / MSNA / DTM")</f>
        <v>WASH Specific assessments / MSNA / DTM</v>
      </c>
      <c r="N114" s="187" t="str">
        <f ca="1">IFERROR(__xludf.DUMMYFUNCTION("""COMPUTED_VALUE"""),"Soap is available at home AND handwashing facility is on premises with soap and water available")</f>
        <v>Soap is available at home AND handwashing facility is on premises with soap and water available</v>
      </c>
      <c r="O114" s="187"/>
      <c r="P114" s="187" t="str">
        <f ca="1">IFERROR(__xludf.DUMMYFUNCTION("""COMPUTED_VALUE"""),"Soap is available at home BUT no handwashing facility on premises with soap and water")</f>
        <v>Soap is available at home BUT no handwashing facility on premises with soap and water</v>
      </c>
      <c r="Q114" s="187"/>
      <c r="R114" s="187" t="str">
        <f ca="1">IFERROR(__xludf.DUMMYFUNCTION("""COMPUTED_VALUE"""),"Soap is not available at home")</f>
        <v>Soap is not available at home</v>
      </c>
      <c r="S114" s="187"/>
    </row>
    <row r="115" spans="1:19" ht="105" hidden="1" customHeight="1">
      <c r="A115" s="159">
        <f ca="1">IFERROR(__xludf.DUMMYFUNCTION("""COMPUTED_VALUE"""),110)</f>
        <v>110</v>
      </c>
      <c r="B115" s="187" t="str">
        <f ca="1">IFERROR(__xludf.DUMMYFUNCTION("""COMPUTED_VALUE"""),"WASH")</f>
        <v>WASH</v>
      </c>
      <c r="C115" s="187" t="str">
        <f ca="1">IFERROR(__xludf.DUMMYFUNCTION("""COMPUTED_VALUE"""),"Sanitation")</f>
        <v>Sanitation</v>
      </c>
      <c r="D115" s="187" t="str">
        <f ca="1">IFERROR(__xludf.DUMMYFUNCTION("""COMPUTED_VALUE"""),"Humanitarian conditions")</f>
        <v>Humanitarian conditions</v>
      </c>
      <c r="E115" s="187" t="str">
        <f ca="1">IFERROR(__xludf.DUMMYFUNCTION("""COMPUTED_VALUE"""),"Living Standards")</f>
        <v>Living Standards</v>
      </c>
      <c r="F115" s="187" t="str">
        <f ca="1">IFERROR(__xludf.DUMMYFUNCTION("""COMPUTED_VALUE"""),"% of HHs facing environmental sanitation problems (living in areas where solid waste, waterwaste, open defecation was visible around their accommodation - 30 meters or less)")</f>
        <v>% of HHs facing environmental sanitation problems (living in areas where solid waste, waterwaste, open defecation was visible around their accommodation - 30 meters or less)</v>
      </c>
      <c r="G115" s="187"/>
      <c r="H115" s="187"/>
      <c r="I115" s="187"/>
      <c r="J115" s="187"/>
      <c r="K115" s="188">
        <f ca="1">IFERROR(__xludf.DUMMYFUNCTION("""COMPUTED_VALUE"""),3)</f>
        <v>3</v>
      </c>
      <c r="L115" s="187" t="str">
        <f ca="1">IFERROR(__xludf.DUMMYFUNCTION("""COMPUTED_VALUE"""),"HH survey / KI")</f>
        <v>HH survey / KI</v>
      </c>
      <c r="M115" s="187" t="str">
        <f ca="1">IFERROR(__xludf.DUMMYFUNCTION("""COMPUTED_VALUE"""),"WASH Specific assessments / MSNA / DTM")</f>
        <v>WASH Specific assessments / MSNA / DTM</v>
      </c>
      <c r="N115" s="187" t="str">
        <f ca="1">IFERROR(__xludf.DUMMYFUNCTION("""COMPUTED_VALUE"""),"No environmental hazard was always visible")</f>
        <v>No environmental hazard was always visible</v>
      </c>
      <c r="O115" s="187" t="str">
        <f ca="1">IFERROR(__xludf.DUMMYFUNCTION("""COMPUTED_VALUE"""),"At least one environmental hazard was always visible")</f>
        <v>At least one environmental hazard was always visible</v>
      </c>
      <c r="P115" s="187" t="str">
        <f ca="1">IFERROR(__xludf.DUMMYFUNCTION("""COMPUTED_VALUE"""),"At least two environmental hazards were always visible")</f>
        <v>At least two environmental hazards were always visible</v>
      </c>
      <c r="Q115" s="187" t="str">
        <f ca="1">IFERROR(__xludf.DUMMYFUNCTION("""COMPUTED_VALUE"""),"At least three environmental hazards were always visible")</f>
        <v>At least three environmental hazards were always visible</v>
      </c>
      <c r="R115" s="187" t="str">
        <f ca="1">IFERROR(__xludf.DUMMYFUNCTION("""COMPUTED_VALUE"""),"At least four environmental hazards were always visible")</f>
        <v>At least four environmental hazards were always visible</v>
      </c>
      <c r="S115" s="187"/>
    </row>
    <row r="116" spans="1:19" ht="105" hidden="1" customHeight="1">
      <c r="A116" s="159">
        <f ca="1">IFERROR(__xludf.DUMMYFUNCTION("""COMPUTED_VALUE"""),111)</f>
        <v>111</v>
      </c>
      <c r="B116" s="187" t="str">
        <f ca="1">IFERROR(__xludf.DUMMYFUNCTION("""COMPUTED_VALUE"""),"WASH")</f>
        <v>WASH</v>
      </c>
      <c r="C116" s="187" t="str">
        <f ca="1">IFERROR(__xludf.DUMMYFUNCTION("""COMPUTED_VALUE"""),"Sanitation")</f>
        <v>Sanitation</v>
      </c>
      <c r="D116" s="187" t="str">
        <f ca="1">IFERROR(__xludf.DUMMYFUNCTION("""COMPUTED_VALUE"""),"Humanitarian conditions")</f>
        <v>Humanitarian conditions</v>
      </c>
      <c r="E116" s="187" t="str">
        <f ca="1">IFERROR(__xludf.DUMMYFUNCTION("""COMPUTED_VALUE"""),"Physical and Mental Wellbeing")</f>
        <v>Physical and Mental Wellbeing</v>
      </c>
      <c r="F116" s="187" t="str">
        <f ca="1">IFERROR(__xludf.DUMMYFUNCTION("""COMPUTED_VALUE"""),"% of HHs having sufficient access to a functionnal and improved sanitation facility")</f>
        <v>% of HHs having sufficient access to a functionnal and improved sanitation facility</v>
      </c>
      <c r="G116" s="187"/>
      <c r="H116" s="187"/>
      <c r="I116" s="187"/>
      <c r="J116" s="187"/>
      <c r="K116" s="188">
        <f ca="1">IFERROR(__xludf.DUMMYFUNCTION("""COMPUTED_VALUE"""),1)</f>
        <v>1</v>
      </c>
      <c r="L116" s="187" t="str">
        <f ca="1">IFERROR(__xludf.DUMMYFUNCTION("""COMPUTED_VALUE"""),"HH survey / KI")</f>
        <v>HH survey / KI</v>
      </c>
      <c r="M116" s="187" t="str">
        <f ca="1">IFERROR(__xludf.DUMMYFUNCTION("""COMPUTED_VALUE"""),"WASH Specific assessments / MSNA / DTM")</f>
        <v>WASH Specific assessments / MSNA / DTM</v>
      </c>
      <c r="N116" s="187" t="str">
        <f ca="1">IFERROR(__xludf.DUMMYFUNCTION("""COMPUTED_VALUE"""),"Access to improved sanitation facilities, not shared with other households")</f>
        <v>Access to improved sanitation facilities, not shared with other households</v>
      </c>
      <c r="O116" s="187" t="str">
        <f ca="1">IFERROR(__xludf.DUMMYFUNCTION("""COMPUTED_VALUE"""),"Access to improved sanitation facilities, shared with less than 20 people")</f>
        <v>Access to improved sanitation facilities, shared with less than 20 people</v>
      </c>
      <c r="P116" s="187" t="str">
        <f ca="1">IFERROR(__xludf.DUMMYFUNCTION("""COMPUTED_VALUE"""),"Access to improved sanitation facilities, shared with more than 20 people")</f>
        <v>Access to improved sanitation facilities, shared with more than 20 people</v>
      </c>
      <c r="Q116" s="187" t="str">
        <f ca="1">IFERROR(__xludf.DUMMYFUNCTION("""COMPUTED_VALUE"""),"Access to unimproved facilities OR access to improved facilities shared with more than 50 people")</f>
        <v>Access to unimproved facilities OR access to improved facilities shared with more than 50 people</v>
      </c>
      <c r="R116" s="187" t="str">
        <f ca="1">IFERROR(__xludf.DUMMYFUNCTION("""COMPUTED_VALUE"""),"Disposal of human faeces in open spaces or with solid waste")</f>
        <v>Disposal of human faeces in open spaces or with solid waste</v>
      </c>
      <c r="S116" s="187"/>
    </row>
    <row r="117" spans="1:19" ht="105" hidden="1" customHeight="1">
      <c r="A117" s="159">
        <f ca="1">IFERROR(__xludf.DUMMYFUNCTION("""COMPUTED_VALUE"""),112)</f>
        <v>112</v>
      </c>
      <c r="B117" s="187" t="str">
        <f ca="1">IFERROR(__xludf.DUMMYFUNCTION("""COMPUTED_VALUE"""),"WASH")</f>
        <v>WASH</v>
      </c>
      <c r="C117" s="187" t="str">
        <f ca="1">IFERROR(__xludf.DUMMYFUNCTION("""COMPUTED_VALUE"""),"Water")</f>
        <v>Water</v>
      </c>
      <c r="D117" s="187" t="str">
        <f ca="1">IFERROR(__xludf.DUMMYFUNCTION("""COMPUTED_VALUE"""),"Humanitarian conditions")</f>
        <v>Humanitarian conditions</v>
      </c>
      <c r="E117" s="187" t="str">
        <f ca="1">IFERROR(__xludf.DUMMYFUNCTION("""COMPUTED_VALUE"""),"Physical and Mental Wellbeing")</f>
        <v>Physical and Mental Wellbeing</v>
      </c>
      <c r="F117" s="187" t="str">
        <f ca="1">IFERROR(__xludf.DUMMYFUNCTION("""COMPUTED_VALUE"""),"% of HHs having access to a sufficient quantity of water for drinking, cooking, bathing, washing or other domestic use")</f>
        <v>% of HHs having access to a sufficient quantity of water for drinking, cooking, bathing, washing or other domestic use</v>
      </c>
      <c r="G117" s="187"/>
      <c r="H117" s="187"/>
      <c r="I117" s="187"/>
      <c r="J117" s="187"/>
      <c r="K117" s="188">
        <f ca="1">IFERROR(__xludf.DUMMYFUNCTION("""COMPUTED_VALUE"""),2)</f>
        <v>2</v>
      </c>
      <c r="L117" s="187" t="str">
        <f ca="1">IFERROR(__xludf.DUMMYFUNCTION("""COMPUTED_VALUE"""),"HH survey / KI")</f>
        <v>HH survey / KI</v>
      </c>
      <c r="M117" s="187" t="str">
        <f ca="1">IFERROR(__xludf.DUMMYFUNCTION("""COMPUTED_VALUE"""),"WASH Specific assessments / MSNA / DTM")</f>
        <v>WASH Specific assessments / MSNA / DTM</v>
      </c>
      <c r="N117" s="187" t="str">
        <f ca="1">IFERROR(__xludf.DUMMYFUNCTION("""COMPUTED_VALUE"""),"Enough water for drinking, cooking, personal hygiene and other domestic purposes OR more than 50 l/d/p")</f>
        <v>Enough water for drinking, cooking, personal hygiene and other domestic purposes OR more than 50 l/d/p</v>
      </c>
      <c r="O117" s="187" t="str">
        <f ca="1">IFERROR(__xludf.DUMMYFUNCTION("""COMPUTED_VALUE"""),"Enough water for drinking AND cooking AND personal hygiene, BUT NOT for other domestic purposes OR 15 or more but less than 50 l/d/p")</f>
        <v>Enough water for drinking AND cooking AND personal hygiene, BUT NOT for other domestic purposes OR 15 or more but less than 50 l/d/p</v>
      </c>
      <c r="P117" s="187" t="str">
        <f ca="1">IFERROR(__xludf.DUMMYFUNCTION("""COMPUTED_VALUE"""),"Enough water for drinking AND EITHER cooking OR personal hygiene OR 9 or more but less than 15 l/d/p")</f>
        <v>Enough water for drinking AND EITHER cooking OR personal hygiene OR 9 or more but less than 15 l/d/p</v>
      </c>
      <c r="Q117" s="187" t="str">
        <f ca="1">IFERROR(__xludf.DUMMYFUNCTION("""COMPUTED_VALUE"""),"Enough water for drinking BUT NOT for cooking AND personal hygiene OR 3 or more but less than 9 l/d/p")</f>
        <v>Enough water for drinking BUT NOT for cooking AND personal hygiene OR 3 or more but less than 9 l/d/p</v>
      </c>
      <c r="R117" s="187" t="str">
        <f ca="1">IFERROR(__xludf.DUMMYFUNCTION("""COMPUTED_VALUE"""),"Not enough water for drinking OR Less than 3 l/d/p")</f>
        <v>Not enough water for drinking OR Less than 3 l/d/p</v>
      </c>
      <c r="S117" s="187"/>
    </row>
    <row r="118" spans="1:19" ht="105" hidden="1" customHeight="1">
      <c r="A118" s="159">
        <f ca="1">IFERROR(__xludf.DUMMYFUNCTION("""COMPUTED_VALUE"""),113)</f>
        <v>113</v>
      </c>
      <c r="B118" s="187" t="str">
        <f ca="1">IFERROR(__xludf.DUMMYFUNCTION("""COMPUTED_VALUE"""),"WASH")</f>
        <v>WASH</v>
      </c>
      <c r="C118" s="187" t="str">
        <f ca="1">IFERROR(__xludf.DUMMYFUNCTION("""COMPUTED_VALUE"""),"Water")</f>
        <v>Water</v>
      </c>
      <c r="D118" s="187" t="str">
        <f ca="1">IFERROR(__xludf.DUMMYFUNCTION("""COMPUTED_VALUE"""),"Humanitarian Conditions")</f>
        <v>Humanitarian Conditions</v>
      </c>
      <c r="E118" s="187" t="str">
        <f ca="1">IFERROR(__xludf.DUMMYFUNCTION("""COMPUTED_VALUE"""),"Physical and Mental Wellbeing")</f>
        <v>Physical and Mental Wellbeing</v>
      </c>
      <c r="F118" s="187" t="str">
        <f ca="1">IFERROR(__xludf.DUMMYFUNCTION("""COMPUTED_VALUE"""),"% of HHs having access to water sources of sufficient quality and availability")</f>
        <v>% of HHs having access to water sources of sufficient quality and availability</v>
      </c>
      <c r="G118" s="187"/>
      <c r="H118" s="187"/>
      <c r="I118" s="187"/>
      <c r="J118" s="187"/>
      <c r="K118" s="188">
        <f ca="1">IFERROR(__xludf.DUMMYFUNCTION("""COMPUTED_VALUE"""),1)</f>
        <v>1</v>
      </c>
      <c r="L118" s="187" t="str">
        <f ca="1">IFERROR(__xludf.DUMMYFUNCTION("""COMPUTED_VALUE"""),"HH survey / KI")</f>
        <v>HH survey / KI</v>
      </c>
      <c r="M118" s="187" t="str">
        <f ca="1">IFERROR(__xludf.DUMMYFUNCTION("""COMPUTED_VALUE"""),"WASH Specific assessments / MSNA / DTM")</f>
        <v>WASH Specific assessments / MSNA / DTM</v>
      </c>
      <c r="N118" s="187" t="str">
        <f ca="1">IFERROR(__xludf.DUMMYFUNCTION("""COMPUTED_VALUE"""),"Water comes from an improved water source which is located on premises")</f>
        <v>Water comes from an improved water source which is located on premises</v>
      </c>
      <c r="O118" s="187" t="str">
        <f ca="1">IFERROR(__xludf.DUMMYFUNCTION("""COMPUTED_VALUE"""),"Water comes from an improved water source, provided collection time is not more than 30 minutes for a roundtrip, including queuing")</f>
        <v>Water comes from an improved water source, provided collection time is not more than 30 minutes for a roundtrip, including queuing</v>
      </c>
      <c r="P118" s="187" t="str">
        <f ca="1">IFERROR(__xludf.DUMMYFUNCTION("""COMPUTED_VALUE"""),"Water comes from an improved source for which collection time exceeds 30 minutes for a roundtrip, including queuing")</f>
        <v>Water comes from an improved source for which collection time exceeds 30 minutes for a roundtrip, including queuing</v>
      </c>
      <c r="Q118" s="187" t="str">
        <f ca="1">IFERROR(__xludf.DUMMYFUNCTION("""COMPUTED_VALUE"""),"Water comes from an unimproved water source")</f>
        <v>Water comes from an unimproved water source</v>
      </c>
      <c r="R118" s="187" t="str">
        <f ca="1">IFERROR(__xludf.DUMMYFUNCTION("""COMPUTED_VALUE"""),"Water comes directly from rivers, lakes, ponds, etc.")</f>
        <v>Water comes directly from rivers, lakes, ponds, etc.</v>
      </c>
      <c r="S118" s="187"/>
    </row>
    <row r="119" spans="1:19" ht="12.5">
      <c r="A119" s="149"/>
      <c r="B119" s="149"/>
      <c r="C119" s="149"/>
      <c r="D119" s="149"/>
      <c r="E119" s="149"/>
      <c r="F119" s="149"/>
      <c r="G119" s="149"/>
      <c r="H119" s="149"/>
      <c r="I119" s="149"/>
      <c r="J119" s="149"/>
      <c r="K119" s="149"/>
      <c r="L119" s="149"/>
      <c r="M119" s="149"/>
      <c r="N119" s="149"/>
      <c r="O119" s="149"/>
      <c r="P119" s="149"/>
      <c r="Q119" s="149"/>
      <c r="R119" s="149"/>
      <c r="S119" s="149"/>
    </row>
    <row r="120" spans="1:19" ht="12.5">
      <c r="A120" s="149"/>
      <c r="B120" s="149"/>
      <c r="C120" s="149"/>
      <c r="D120" s="149"/>
      <c r="E120" s="149"/>
      <c r="F120" s="149"/>
      <c r="G120" s="149"/>
      <c r="H120" s="149"/>
      <c r="I120" s="149"/>
      <c r="J120" s="149"/>
      <c r="K120" s="149"/>
      <c r="L120" s="149"/>
      <c r="M120" s="149"/>
      <c r="N120" s="149"/>
      <c r="O120" s="149"/>
      <c r="P120" s="149"/>
      <c r="Q120" s="149"/>
      <c r="R120" s="149"/>
      <c r="S120" s="149"/>
    </row>
    <row r="121" spans="1:19" ht="12.5">
      <c r="A121" s="149"/>
      <c r="B121" s="149"/>
      <c r="C121" s="149"/>
      <c r="D121" s="149"/>
      <c r="E121" s="149"/>
      <c r="F121" s="149"/>
      <c r="G121" s="149"/>
      <c r="H121" s="149"/>
      <c r="I121" s="149"/>
      <c r="J121" s="149"/>
      <c r="K121" s="149"/>
      <c r="L121" s="149"/>
      <c r="M121" s="149"/>
      <c r="N121" s="149"/>
      <c r="O121" s="149"/>
      <c r="P121" s="149"/>
      <c r="Q121" s="149"/>
      <c r="R121" s="149"/>
      <c r="S121" s="149"/>
    </row>
    <row r="122" spans="1:19" ht="12.5">
      <c r="A122" s="149"/>
      <c r="B122" s="149"/>
      <c r="C122" s="149"/>
      <c r="D122" s="149"/>
      <c r="E122" s="149"/>
      <c r="F122" s="149"/>
      <c r="G122" s="149"/>
      <c r="H122" s="149"/>
      <c r="I122" s="149"/>
      <c r="J122" s="149"/>
      <c r="K122" s="149"/>
      <c r="L122" s="149"/>
      <c r="M122" s="149"/>
      <c r="N122" s="149"/>
      <c r="O122" s="149"/>
      <c r="P122" s="149"/>
      <c r="Q122" s="149"/>
      <c r="R122" s="149"/>
      <c r="S122" s="149"/>
    </row>
    <row r="123" spans="1:19" ht="12.5">
      <c r="A123" s="148"/>
      <c r="B123" s="148"/>
      <c r="C123" s="148"/>
      <c r="D123" s="148"/>
      <c r="E123" s="148"/>
      <c r="F123" s="148"/>
      <c r="G123" s="148"/>
      <c r="H123" s="148"/>
      <c r="I123" s="148"/>
      <c r="J123" s="148"/>
      <c r="K123" s="148"/>
      <c r="L123" s="148"/>
      <c r="M123" s="148"/>
      <c r="N123" s="149"/>
      <c r="O123" s="149"/>
      <c r="P123" s="149"/>
      <c r="Q123" s="149"/>
      <c r="R123" s="149"/>
      <c r="S123" s="148"/>
    </row>
    <row r="124" spans="1:19" ht="12.5">
      <c r="A124" s="148"/>
      <c r="B124" s="148"/>
      <c r="C124" s="148"/>
      <c r="D124" s="148"/>
      <c r="E124" s="148"/>
      <c r="F124" s="148"/>
      <c r="G124" s="148"/>
      <c r="H124" s="148"/>
      <c r="I124" s="148"/>
      <c r="J124" s="148"/>
      <c r="K124" s="148"/>
      <c r="L124" s="148"/>
      <c r="M124" s="148"/>
      <c r="N124" s="149"/>
      <c r="O124" s="149"/>
      <c r="P124" s="149"/>
      <c r="Q124" s="149"/>
      <c r="R124" s="149"/>
      <c r="S124" s="148"/>
    </row>
    <row r="125" spans="1:19" ht="12.5">
      <c r="A125" s="148"/>
      <c r="B125" s="148"/>
      <c r="C125" s="148"/>
      <c r="D125" s="148"/>
      <c r="E125" s="148"/>
      <c r="F125" s="148"/>
      <c r="G125" s="148"/>
      <c r="H125" s="148"/>
      <c r="I125" s="148"/>
      <c r="J125" s="148"/>
      <c r="K125" s="148"/>
      <c r="L125" s="148"/>
      <c r="M125" s="148"/>
      <c r="N125" s="149"/>
      <c r="O125" s="149"/>
      <c r="P125" s="149"/>
      <c r="Q125" s="149"/>
      <c r="R125" s="149"/>
      <c r="S125" s="148"/>
    </row>
    <row r="126" spans="1:19" ht="12.5">
      <c r="A126" s="148"/>
      <c r="B126" s="148"/>
      <c r="C126" s="148"/>
      <c r="D126" s="148"/>
      <c r="E126" s="148"/>
      <c r="F126" s="148"/>
      <c r="G126" s="148"/>
      <c r="H126" s="148"/>
      <c r="I126" s="148"/>
      <c r="J126" s="148"/>
      <c r="K126" s="148"/>
      <c r="L126" s="148"/>
      <c r="M126" s="148"/>
      <c r="N126" s="149"/>
      <c r="O126" s="149"/>
      <c r="P126" s="149"/>
      <c r="Q126" s="149"/>
      <c r="R126" s="149"/>
      <c r="S126" s="148"/>
    </row>
    <row r="127" spans="1:19" ht="12.5">
      <c r="A127" s="148"/>
      <c r="B127" s="148"/>
      <c r="C127" s="148"/>
      <c r="D127" s="148"/>
      <c r="E127" s="148"/>
      <c r="F127" s="148"/>
      <c r="G127" s="148"/>
      <c r="H127" s="148"/>
      <c r="I127" s="148"/>
      <c r="J127" s="148"/>
      <c r="K127" s="148"/>
      <c r="L127" s="148"/>
      <c r="M127" s="148"/>
      <c r="N127" s="149"/>
      <c r="O127" s="149"/>
      <c r="P127" s="149"/>
      <c r="Q127" s="149"/>
      <c r="R127" s="149"/>
      <c r="S127" s="148"/>
    </row>
    <row r="128" spans="1:19" ht="12.5">
      <c r="A128" s="148"/>
      <c r="B128" s="148"/>
      <c r="C128" s="148"/>
      <c r="D128" s="148"/>
      <c r="E128" s="148"/>
      <c r="F128" s="148"/>
      <c r="G128" s="148"/>
      <c r="H128" s="148"/>
      <c r="I128" s="148"/>
      <c r="J128" s="148"/>
      <c r="K128" s="148"/>
      <c r="L128" s="148"/>
      <c r="M128" s="148"/>
      <c r="N128" s="149"/>
      <c r="O128" s="149"/>
      <c r="P128" s="149"/>
      <c r="Q128" s="149"/>
      <c r="R128" s="149"/>
      <c r="S128" s="148"/>
    </row>
    <row r="129" spans="1:19" ht="12.5">
      <c r="A129" s="148"/>
      <c r="B129" s="148"/>
      <c r="C129" s="148"/>
      <c r="D129" s="148"/>
      <c r="E129" s="148"/>
      <c r="F129" s="148"/>
      <c r="G129" s="148"/>
      <c r="H129" s="148"/>
      <c r="I129" s="148"/>
      <c r="J129" s="148"/>
      <c r="K129" s="148"/>
      <c r="L129" s="148"/>
      <c r="M129" s="148"/>
      <c r="N129" s="149"/>
      <c r="O129" s="149"/>
      <c r="P129" s="149"/>
      <c r="Q129" s="149"/>
      <c r="R129" s="149"/>
      <c r="S129" s="148"/>
    </row>
    <row r="130" spans="1:19" ht="12.5">
      <c r="A130" s="148"/>
      <c r="B130" s="148"/>
      <c r="C130" s="148"/>
      <c r="D130" s="148"/>
      <c r="E130" s="148"/>
      <c r="F130" s="148"/>
      <c r="G130" s="148"/>
      <c r="H130" s="148"/>
      <c r="I130" s="148"/>
      <c r="J130" s="148"/>
      <c r="K130" s="148"/>
      <c r="L130" s="148"/>
      <c r="M130" s="148"/>
      <c r="N130" s="149"/>
      <c r="O130" s="149"/>
      <c r="P130" s="149"/>
      <c r="Q130" s="149"/>
      <c r="R130" s="149"/>
      <c r="S130" s="148"/>
    </row>
    <row r="131" spans="1:19" ht="12.5">
      <c r="A131" s="148"/>
      <c r="B131" s="148"/>
      <c r="C131" s="148"/>
      <c r="D131" s="148"/>
      <c r="E131" s="148"/>
      <c r="F131" s="148"/>
      <c r="G131" s="148"/>
      <c r="H131" s="148"/>
      <c r="I131" s="148"/>
      <c r="J131" s="148"/>
      <c r="K131" s="148"/>
      <c r="L131" s="148"/>
      <c r="M131" s="148"/>
      <c r="N131" s="149"/>
      <c r="O131" s="149"/>
      <c r="P131" s="149"/>
      <c r="Q131" s="149"/>
      <c r="R131" s="149"/>
      <c r="S131" s="148"/>
    </row>
    <row r="132" spans="1:19" ht="12.5">
      <c r="A132" s="148"/>
      <c r="B132" s="148"/>
      <c r="C132" s="148"/>
      <c r="D132" s="148"/>
      <c r="E132" s="148"/>
      <c r="F132" s="148"/>
      <c r="G132" s="148"/>
      <c r="H132" s="148"/>
      <c r="I132" s="148"/>
      <c r="J132" s="148"/>
      <c r="K132" s="148"/>
      <c r="L132" s="148"/>
      <c r="M132" s="148"/>
      <c r="N132" s="149"/>
      <c r="O132" s="149"/>
      <c r="P132" s="149"/>
      <c r="Q132" s="149"/>
      <c r="R132" s="149"/>
      <c r="S132" s="148"/>
    </row>
    <row r="133" spans="1:19" ht="12.5">
      <c r="A133" s="148"/>
      <c r="B133" s="148"/>
      <c r="C133" s="148"/>
      <c r="D133" s="148"/>
      <c r="E133" s="148"/>
      <c r="F133" s="148"/>
      <c r="G133" s="148"/>
      <c r="H133" s="148"/>
      <c r="I133" s="148"/>
      <c r="J133" s="148"/>
      <c r="K133" s="148"/>
      <c r="L133" s="148"/>
      <c r="M133" s="148"/>
      <c r="N133" s="149"/>
      <c r="O133" s="149"/>
      <c r="P133" s="149"/>
      <c r="Q133" s="149"/>
      <c r="R133" s="149"/>
      <c r="S133" s="148"/>
    </row>
    <row r="134" spans="1:19" ht="12.5">
      <c r="A134" s="148"/>
      <c r="B134" s="148"/>
      <c r="C134" s="148"/>
      <c r="D134" s="148"/>
      <c r="E134" s="148"/>
      <c r="F134" s="148"/>
      <c r="G134" s="148"/>
      <c r="H134" s="148"/>
      <c r="I134" s="148"/>
      <c r="J134" s="148"/>
      <c r="K134" s="148"/>
      <c r="L134" s="148"/>
      <c r="M134" s="148"/>
      <c r="N134" s="149"/>
      <c r="O134" s="149"/>
      <c r="P134" s="149"/>
      <c r="Q134" s="149"/>
      <c r="R134" s="149"/>
      <c r="S134" s="148"/>
    </row>
    <row r="135" spans="1:19" ht="12.5">
      <c r="A135" s="148"/>
      <c r="B135" s="148"/>
      <c r="C135" s="148"/>
      <c r="D135" s="148"/>
      <c r="E135" s="148"/>
      <c r="F135" s="148"/>
      <c r="G135" s="148"/>
      <c r="H135" s="148"/>
      <c r="I135" s="148"/>
      <c r="J135" s="148"/>
      <c r="K135" s="148"/>
      <c r="L135" s="148"/>
      <c r="M135" s="148"/>
      <c r="N135" s="149"/>
      <c r="O135" s="149"/>
      <c r="P135" s="149"/>
      <c r="Q135" s="149"/>
      <c r="R135" s="149"/>
      <c r="S135" s="148"/>
    </row>
    <row r="136" spans="1:19" ht="12.5">
      <c r="A136" s="148"/>
      <c r="B136" s="148"/>
      <c r="C136" s="148"/>
      <c r="D136" s="148"/>
      <c r="E136" s="148"/>
      <c r="F136" s="148"/>
      <c r="G136" s="148"/>
      <c r="H136" s="148"/>
      <c r="I136" s="148"/>
      <c r="J136" s="148"/>
      <c r="K136" s="148"/>
      <c r="L136" s="148"/>
      <c r="M136" s="148"/>
      <c r="N136" s="149"/>
      <c r="O136" s="149"/>
      <c r="P136" s="149"/>
      <c r="Q136" s="149"/>
      <c r="R136" s="149"/>
      <c r="S136" s="148"/>
    </row>
    <row r="137" spans="1:19" ht="12.5">
      <c r="A137" s="148"/>
      <c r="B137" s="148"/>
      <c r="C137" s="148"/>
      <c r="D137" s="148"/>
      <c r="E137" s="148"/>
      <c r="F137" s="148"/>
      <c r="G137" s="148"/>
      <c r="H137" s="148"/>
      <c r="I137" s="148"/>
      <c r="J137" s="148"/>
      <c r="K137" s="148"/>
      <c r="L137" s="148"/>
      <c r="M137" s="148"/>
      <c r="N137" s="149"/>
      <c r="O137" s="149"/>
      <c r="P137" s="149"/>
      <c r="Q137" s="149"/>
      <c r="R137" s="149"/>
      <c r="S137" s="148"/>
    </row>
    <row r="138" spans="1:19" ht="12.5">
      <c r="A138" s="148"/>
      <c r="B138" s="148"/>
      <c r="C138" s="148"/>
      <c r="D138" s="148"/>
      <c r="E138" s="148"/>
      <c r="F138" s="148"/>
      <c r="G138" s="148"/>
      <c r="H138" s="148"/>
      <c r="I138" s="148"/>
      <c r="J138" s="148"/>
      <c r="K138" s="148"/>
      <c r="L138" s="148"/>
      <c r="M138" s="148"/>
      <c r="N138" s="149"/>
      <c r="O138" s="149"/>
      <c r="P138" s="149"/>
      <c r="Q138" s="149"/>
      <c r="R138" s="149"/>
      <c r="S138" s="148"/>
    </row>
    <row r="139" spans="1:19" ht="12.5">
      <c r="A139" s="148"/>
      <c r="B139" s="148"/>
      <c r="C139" s="148"/>
      <c r="D139" s="148"/>
      <c r="E139" s="148"/>
      <c r="F139" s="148"/>
      <c r="G139" s="148"/>
      <c r="H139" s="148"/>
      <c r="I139" s="148"/>
      <c r="J139" s="148"/>
      <c r="K139" s="148"/>
      <c r="L139" s="148"/>
      <c r="M139" s="148"/>
      <c r="N139" s="149"/>
      <c r="O139" s="149"/>
      <c r="P139" s="149"/>
      <c r="Q139" s="149"/>
      <c r="R139" s="149"/>
      <c r="S139" s="148"/>
    </row>
    <row r="140" spans="1:19" ht="12.5">
      <c r="A140" s="148"/>
      <c r="B140" s="148"/>
      <c r="C140" s="148"/>
      <c r="D140" s="148"/>
      <c r="E140" s="148"/>
      <c r="F140" s="148"/>
      <c r="G140" s="148"/>
      <c r="H140" s="148"/>
      <c r="I140" s="148"/>
      <c r="J140" s="148"/>
      <c r="K140" s="148"/>
      <c r="L140" s="148"/>
      <c r="M140" s="148"/>
      <c r="N140" s="149"/>
      <c r="O140" s="149"/>
      <c r="P140" s="149"/>
      <c r="Q140" s="149"/>
      <c r="R140" s="149"/>
      <c r="S140" s="148"/>
    </row>
    <row r="141" spans="1:19" ht="12.5">
      <c r="A141" s="148"/>
      <c r="B141" s="148"/>
      <c r="C141" s="148"/>
      <c r="D141" s="148"/>
      <c r="E141" s="148"/>
      <c r="F141" s="148"/>
      <c r="G141" s="148"/>
      <c r="H141" s="148"/>
      <c r="I141" s="148"/>
      <c r="J141" s="148"/>
      <c r="K141" s="148"/>
      <c r="L141" s="148"/>
      <c r="M141" s="148"/>
      <c r="N141" s="149"/>
      <c r="O141" s="149"/>
      <c r="P141" s="149"/>
      <c r="Q141" s="149"/>
      <c r="R141" s="149"/>
      <c r="S141" s="148"/>
    </row>
    <row r="142" spans="1:19" ht="12.5">
      <c r="A142" s="148"/>
      <c r="B142" s="148"/>
      <c r="C142" s="148"/>
      <c r="D142" s="148"/>
      <c r="E142" s="148"/>
      <c r="F142" s="148"/>
      <c r="G142" s="148"/>
      <c r="H142" s="148"/>
      <c r="I142" s="148"/>
      <c r="J142" s="148"/>
      <c r="K142" s="148"/>
      <c r="L142" s="148"/>
      <c r="M142" s="148"/>
      <c r="N142" s="149"/>
      <c r="O142" s="149"/>
      <c r="P142" s="149"/>
      <c r="Q142" s="149"/>
      <c r="R142" s="149"/>
      <c r="S142" s="148"/>
    </row>
    <row r="143" spans="1:19" ht="12.5">
      <c r="A143" s="148"/>
      <c r="B143" s="148"/>
      <c r="C143" s="148"/>
      <c r="D143" s="148"/>
      <c r="E143" s="148"/>
      <c r="F143" s="148"/>
      <c r="G143" s="148"/>
      <c r="H143" s="148"/>
      <c r="I143" s="148"/>
      <c r="J143" s="148"/>
      <c r="K143" s="148"/>
      <c r="L143" s="148"/>
      <c r="M143" s="148"/>
      <c r="N143" s="149"/>
      <c r="O143" s="149"/>
      <c r="P143" s="149"/>
      <c r="Q143" s="149"/>
      <c r="R143" s="149"/>
      <c r="S143" s="148"/>
    </row>
    <row r="144" spans="1:19" ht="12.5">
      <c r="A144" s="148"/>
      <c r="B144" s="148"/>
      <c r="C144" s="148"/>
      <c r="D144" s="148"/>
      <c r="E144" s="148"/>
      <c r="F144" s="148"/>
      <c r="G144" s="148"/>
      <c r="H144" s="148"/>
      <c r="I144" s="148"/>
      <c r="J144" s="148"/>
      <c r="K144" s="148"/>
      <c r="L144" s="148"/>
      <c r="M144" s="148"/>
      <c r="N144" s="149"/>
      <c r="O144" s="149"/>
      <c r="P144" s="149"/>
      <c r="Q144" s="149"/>
      <c r="R144" s="149"/>
      <c r="S144" s="148"/>
    </row>
    <row r="145" spans="1:19" ht="12.5">
      <c r="A145" s="148"/>
      <c r="B145" s="148"/>
      <c r="C145" s="148"/>
      <c r="D145" s="148"/>
      <c r="E145" s="148"/>
      <c r="F145" s="148"/>
      <c r="G145" s="148"/>
      <c r="H145" s="148"/>
      <c r="I145" s="148"/>
      <c r="J145" s="148"/>
      <c r="K145" s="148"/>
      <c r="L145" s="148"/>
      <c r="M145" s="148"/>
      <c r="N145" s="149"/>
      <c r="O145" s="149"/>
      <c r="P145" s="149"/>
      <c r="Q145" s="149"/>
      <c r="R145" s="149"/>
      <c r="S145" s="148"/>
    </row>
    <row r="146" spans="1:19" ht="12.5">
      <c r="A146" s="148"/>
      <c r="B146" s="148"/>
      <c r="C146" s="148"/>
      <c r="D146" s="148"/>
      <c r="E146" s="148"/>
      <c r="F146" s="148"/>
      <c r="G146" s="148"/>
      <c r="H146" s="148"/>
      <c r="I146" s="148"/>
      <c r="J146" s="148"/>
      <c r="K146" s="148"/>
      <c r="L146" s="148"/>
      <c r="M146" s="148"/>
      <c r="N146" s="149"/>
      <c r="O146" s="149"/>
      <c r="P146" s="149"/>
      <c r="Q146" s="149"/>
      <c r="R146" s="149"/>
      <c r="S146" s="148"/>
    </row>
    <row r="147" spans="1:19" ht="12.5">
      <c r="A147" s="148"/>
      <c r="B147" s="148"/>
      <c r="C147" s="148"/>
      <c r="D147" s="148"/>
      <c r="E147" s="148"/>
      <c r="F147" s="148"/>
      <c r="G147" s="148"/>
      <c r="H147" s="148"/>
      <c r="I147" s="148"/>
      <c r="J147" s="148"/>
      <c r="K147" s="148"/>
      <c r="L147" s="148"/>
      <c r="M147" s="148"/>
      <c r="N147" s="149"/>
      <c r="O147" s="149"/>
      <c r="P147" s="149"/>
      <c r="Q147" s="149"/>
      <c r="R147" s="149"/>
      <c r="S147" s="148"/>
    </row>
    <row r="148" spans="1:19" ht="12.5">
      <c r="A148" s="148"/>
      <c r="B148" s="148"/>
      <c r="C148" s="148"/>
      <c r="D148" s="148"/>
      <c r="E148" s="148"/>
      <c r="F148" s="148"/>
      <c r="G148" s="148"/>
      <c r="H148" s="148"/>
      <c r="I148" s="148"/>
      <c r="J148" s="148"/>
      <c r="K148" s="148"/>
      <c r="L148" s="148"/>
      <c r="M148" s="148"/>
      <c r="N148" s="149"/>
      <c r="O148" s="149"/>
      <c r="P148" s="149"/>
      <c r="Q148" s="149"/>
      <c r="R148" s="149"/>
      <c r="S148" s="148"/>
    </row>
    <row r="149" spans="1:19" ht="12.5">
      <c r="A149" s="148"/>
      <c r="B149" s="148"/>
      <c r="C149" s="148"/>
      <c r="D149" s="148"/>
      <c r="E149" s="148"/>
      <c r="F149" s="148"/>
      <c r="G149" s="148"/>
      <c r="H149" s="148"/>
      <c r="I149" s="148"/>
      <c r="J149" s="148"/>
      <c r="K149" s="148"/>
      <c r="L149" s="148"/>
      <c r="M149" s="148"/>
      <c r="N149" s="149"/>
      <c r="O149" s="149"/>
      <c r="P149" s="149"/>
      <c r="Q149" s="149"/>
      <c r="R149" s="149"/>
      <c r="S149" s="148"/>
    </row>
    <row r="150" spans="1:19" ht="12.5">
      <c r="A150" s="148"/>
      <c r="B150" s="148"/>
      <c r="C150" s="148"/>
      <c r="D150" s="148"/>
      <c r="E150" s="148"/>
      <c r="F150" s="148"/>
      <c r="G150" s="148"/>
      <c r="H150" s="148"/>
      <c r="I150" s="148"/>
      <c r="J150" s="148"/>
      <c r="K150" s="148"/>
      <c r="L150" s="148"/>
      <c r="M150" s="148"/>
      <c r="N150" s="149"/>
      <c r="O150" s="149"/>
      <c r="P150" s="149"/>
      <c r="Q150" s="149"/>
      <c r="R150" s="149"/>
      <c r="S150" s="148"/>
    </row>
    <row r="151" spans="1:19" ht="12.5">
      <c r="A151" s="148"/>
      <c r="B151" s="148"/>
      <c r="C151" s="148"/>
      <c r="D151" s="148"/>
      <c r="E151" s="148"/>
      <c r="F151" s="148"/>
      <c r="G151" s="148"/>
      <c r="H151" s="148"/>
      <c r="I151" s="148"/>
      <c r="J151" s="148"/>
      <c r="K151" s="148"/>
      <c r="L151" s="148"/>
      <c r="M151" s="148"/>
      <c r="N151" s="149"/>
      <c r="O151" s="149"/>
      <c r="P151" s="149"/>
      <c r="Q151" s="149"/>
      <c r="R151" s="149"/>
      <c r="S151" s="148"/>
    </row>
    <row r="152" spans="1:19" ht="12.5">
      <c r="A152" s="148"/>
      <c r="B152" s="148"/>
      <c r="C152" s="148"/>
      <c r="D152" s="148"/>
      <c r="E152" s="148"/>
      <c r="F152" s="148"/>
      <c r="G152" s="148"/>
      <c r="H152" s="148"/>
      <c r="I152" s="148"/>
      <c r="J152" s="148"/>
      <c r="K152" s="148"/>
      <c r="L152" s="148"/>
      <c r="M152" s="148"/>
      <c r="N152" s="149"/>
      <c r="O152" s="149"/>
      <c r="P152" s="149"/>
      <c r="Q152" s="149"/>
      <c r="R152" s="149"/>
      <c r="S152" s="148"/>
    </row>
    <row r="153" spans="1:19" ht="12.5">
      <c r="A153" s="148"/>
      <c r="B153" s="148"/>
      <c r="C153" s="148"/>
      <c r="D153" s="148"/>
      <c r="E153" s="148"/>
      <c r="F153" s="148"/>
      <c r="G153" s="148"/>
      <c r="H153" s="148"/>
      <c r="I153" s="148"/>
      <c r="J153" s="148"/>
      <c r="K153" s="148"/>
      <c r="L153" s="148"/>
      <c r="M153" s="148"/>
      <c r="N153" s="149"/>
      <c r="O153" s="149"/>
      <c r="P153" s="149"/>
      <c r="Q153" s="149"/>
      <c r="R153" s="149"/>
      <c r="S153" s="148"/>
    </row>
    <row r="154" spans="1:19" ht="12.5">
      <c r="A154" s="148"/>
      <c r="B154" s="148"/>
      <c r="C154" s="148"/>
      <c r="D154" s="148"/>
      <c r="E154" s="148"/>
      <c r="F154" s="148"/>
      <c r="G154" s="148"/>
      <c r="H154" s="148"/>
      <c r="I154" s="148"/>
      <c r="J154" s="148"/>
      <c r="K154" s="148"/>
      <c r="L154" s="148"/>
      <c r="M154" s="148"/>
      <c r="N154" s="149"/>
      <c r="O154" s="149"/>
      <c r="P154" s="149"/>
      <c r="Q154" s="149"/>
      <c r="R154" s="149"/>
      <c r="S154" s="148"/>
    </row>
    <row r="155" spans="1:19" ht="12.5">
      <c r="A155" s="148"/>
      <c r="B155" s="148"/>
      <c r="C155" s="148"/>
      <c r="D155" s="148"/>
      <c r="E155" s="148"/>
      <c r="F155" s="148"/>
      <c r="G155" s="148"/>
      <c r="H155" s="148"/>
      <c r="I155" s="148"/>
      <c r="J155" s="148"/>
      <c r="K155" s="148"/>
      <c r="L155" s="148"/>
      <c r="M155" s="148"/>
      <c r="N155" s="149"/>
      <c r="O155" s="149"/>
      <c r="P155" s="149"/>
      <c r="Q155" s="149"/>
      <c r="R155" s="149"/>
      <c r="S155" s="148"/>
    </row>
    <row r="156" spans="1:19" ht="12.5">
      <c r="A156" s="148"/>
      <c r="B156" s="148"/>
      <c r="C156" s="148"/>
      <c r="D156" s="148"/>
      <c r="E156" s="148"/>
      <c r="F156" s="148"/>
      <c r="G156" s="148"/>
      <c r="H156" s="148"/>
      <c r="I156" s="148"/>
      <c r="J156" s="148"/>
      <c r="K156" s="148"/>
      <c r="L156" s="148"/>
      <c r="M156" s="148"/>
      <c r="N156" s="149"/>
      <c r="O156" s="149"/>
      <c r="P156" s="149"/>
      <c r="Q156" s="149"/>
      <c r="R156" s="149"/>
      <c r="S156" s="148"/>
    </row>
    <row r="157" spans="1:19" ht="12.5">
      <c r="A157" s="148"/>
      <c r="B157" s="148"/>
      <c r="C157" s="148"/>
      <c r="D157" s="148"/>
      <c r="E157" s="148"/>
      <c r="F157" s="148"/>
      <c r="G157" s="148"/>
      <c r="H157" s="148"/>
      <c r="I157" s="148"/>
      <c r="J157" s="148"/>
      <c r="K157" s="148"/>
      <c r="L157" s="148"/>
      <c r="M157" s="148"/>
      <c r="N157" s="149"/>
      <c r="O157" s="149"/>
      <c r="P157" s="149"/>
      <c r="Q157" s="149"/>
      <c r="R157" s="149"/>
      <c r="S157" s="148"/>
    </row>
    <row r="158" spans="1:19" ht="12.5">
      <c r="A158" s="148"/>
      <c r="B158" s="148"/>
      <c r="C158" s="148"/>
      <c r="D158" s="148"/>
      <c r="E158" s="148"/>
      <c r="F158" s="148"/>
      <c r="G158" s="148"/>
      <c r="H158" s="148"/>
      <c r="I158" s="148"/>
      <c r="J158" s="148"/>
      <c r="K158" s="148"/>
      <c r="L158" s="148"/>
      <c r="M158" s="148"/>
      <c r="N158" s="149"/>
      <c r="O158" s="149"/>
      <c r="P158" s="149"/>
      <c r="Q158" s="149"/>
      <c r="R158" s="149"/>
      <c r="S158" s="148"/>
    </row>
    <row r="159" spans="1:19" ht="12.5">
      <c r="A159" s="148"/>
      <c r="B159" s="148"/>
      <c r="C159" s="148"/>
      <c r="D159" s="148"/>
      <c r="E159" s="148"/>
      <c r="F159" s="148"/>
      <c r="G159" s="148"/>
      <c r="H159" s="148"/>
      <c r="I159" s="148"/>
      <c r="J159" s="148"/>
      <c r="K159" s="148"/>
      <c r="L159" s="148"/>
      <c r="M159" s="148"/>
      <c r="N159" s="149"/>
      <c r="O159" s="149"/>
      <c r="P159" s="149"/>
      <c r="Q159" s="149"/>
      <c r="R159" s="149"/>
      <c r="S159" s="148"/>
    </row>
    <row r="160" spans="1:19" ht="12.5">
      <c r="A160" s="148"/>
      <c r="B160" s="148"/>
      <c r="C160" s="148"/>
      <c r="D160" s="148"/>
      <c r="E160" s="148"/>
      <c r="F160" s="148"/>
      <c r="G160" s="148"/>
      <c r="H160" s="148"/>
      <c r="I160" s="148"/>
      <c r="J160" s="148"/>
      <c r="K160" s="148"/>
      <c r="L160" s="148"/>
      <c r="M160" s="148"/>
      <c r="N160" s="149"/>
      <c r="O160" s="149"/>
      <c r="P160" s="149"/>
      <c r="Q160" s="149"/>
      <c r="R160" s="149"/>
      <c r="S160" s="148"/>
    </row>
    <row r="161" spans="1:19" ht="12.5">
      <c r="A161" s="148"/>
      <c r="B161" s="148"/>
      <c r="C161" s="148"/>
      <c r="D161" s="148"/>
      <c r="E161" s="148"/>
      <c r="F161" s="148"/>
      <c r="G161" s="148"/>
      <c r="H161" s="148"/>
      <c r="I161" s="148"/>
      <c r="J161" s="148"/>
      <c r="K161" s="148"/>
      <c r="L161" s="148"/>
      <c r="M161" s="148"/>
      <c r="N161" s="149"/>
      <c r="O161" s="149"/>
      <c r="P161" s="149"/>
      <c r="Q161" s="149"/>
      <c r="R161" s="149"/>
      <c r="S161" s="148"/>
    </row>
    <row r="162" spans="1:19" ht="12.5">
      <c r="A162" s="148"/>
      <c r="B162" s="148"/>
      <c r="C162" s="148"/>
      <c r="D162" s="148"/>
      <c r="E162" s="148"/>
      <c r="F162" s="148"/>
      <c r="G162" s="148"/>
      <c r="H162" s="148"/>
      <c r="I162" s="148"/>
      <c r="J162" s="148"/>
      <c r="K162" s="148"/>
      <c r="L162" s="148"/>
      <c r="M162" s="148"/>
      <c r="N162" s="149"/>
      <c r="O162" s="149"/>
      <c r="P162" s="149"/>
      <c r="Q162" s="149"/>
      <c r="R162" s="149"/>
      <c r="S162" s="148"/>
    </row>
    <row r="163" spans="1:19" ht="12.5">
      <c r="A163" s="148"/>
      <c r="B163" s="148"/>
      <c r="C163" s="148"/>
      <c r="D163" s="148"/>
      <c r="E163" s="148"/>
      <c r="F163" s="148"/>
      <c r="G163" s="148"/>
      <c r="H163" s="148"/>
      <c r="I163" s="148"/>
      <c r="J163" s="148"/>
      <c r="K163" s="148"/>
      <c r="L163" s="148"/>
      <c r="M163" s="148"/>
      <c r="N163" s="149"/>
      <c r="O163" s="149"/>
      <c r="P163" s="149"/>
      <c r="Q163" s="149"/>
      <c r="R163" s="149"/>
      <c r="S163" s="148"/>
    </row>
    <row r="164" spans="1:19" ht="12.5">
      <c r="A164" s="148"/>
      <c r="B164" s="148"/>
      <c r="C164" s="148"/>
      <c r="D164" s="148"/>
      <c r="E164" s="148"/>
      <c r="F164" s="148"/>
      <c r="G164" s="148"/>
      <c r="H164" s="148"/>
      <c r="I164" s="148"/>
      <c r="J164" s="148"/>
      <c r="K164" s="148"/>
      <c r="L164" s="148"/>
      <c r="M164" s="148"/>
      <c r="N164" s="149"/>
      <c r="O164" s="149"/>
      <c r="P164" s="149"/>
      <c r="Q164" s="149"/>
      <c r="R164" s="149"/>
      <c r="S164" s="148"/>
    </row>
    <row r="165" spans="1:19" ht="12.5">
      <c r="A165" s="148"/>
      <c r="B165" s="148"/>
      <c r="C165" s="148"/>
      <c r="D165" s="148"/>
      <c r="E165" s="148"/>
      <c r="F165" s="148"/>
      <c r="G165" s="148"/>
      <c r="H165" s="148"/>
      <c r="I165" s="148"/>
      <c r="J165" s="148"/>
      <c r="K165" s="148"/>
      <c r="L165" s="148"/>
      <c r="M165" s="148"/>
      <c r="N165" s="149"/>
      <c r="O165" s="149"/>
      <c r="P165" s="149"/>
      <c r="Q165" s="149"/>
      <c r="R165" s="149"/>
      <c r="S165" s="148"/>
    </row>
    <row r="166" spans="1:19" ht="12.5">
      <c r="A166" s="148"/>
      <c r="B166" s="148"/>
      <c r="C166" s="148"/>
      <c r="D166" s="148"/>
      <c r="E166" s="148"/>
      <c r="F166" s="148"/>
      <c r="G166" s="148"/>
      <c r="H166" s="148"/>
      <c r="I166" s="148"/>
      <c r="J166" s="148"/>
      <c r="K166" s="148"/>
      <c r="L166" s="148"/>
      <c r="M166" s="148"/>
      <c r="N166" s="149"/>
      <c r="O166" s="149"/>
      <c r="P166" s="149"/>
      <c r="Q166" s="149"/>
      <c r="R166" s="149"/>
      <c r="S166" s="148"/>
    </row>
    <row r="167" spans="1:19" ht="12.5">
      <c r="A167" s="148"/>
      <c r="B167" s="148"/>
      <c r="C167" s="148"/>
      <c r="D167" s="148"/>
      <c r="E167" s="148"/>
      <c r="F167" s="148"/>
      <c r="G167" s="148"/>
      <c r="H167" s="148"/>
      <c r="I167" s="148"/>
      <c r="J167" s="148"/>
      <c r="K167" s="148"/>
      <c r="L167" s="148"/>
      <c r="M167" s="148"/>
      <c r="N167" s="149"/>
      <c r="O167" s="149"/>
      <c r="P167" s="149"/>
      <c r="Q167" s="149"/>
      <c r="R167" s="149"/>
      <c r="S167" s="148"/>
    </row>
    <row r="168" spans="1:19" ht="12.5">
      <c r="A168" s="148"/>
      <c r="B168" s="148"/>
      <c r="C168" s="148"/>
      <c r="D168" s="148"/>
      <c r="E168" s="148"/>
      <c r="F168" s="148"/>
      <c r="G168" s="148"/>
      <c r="H168" s="148"/>
      <c r="I168" s="148"/>
      <c r="J168" s="148"/>
      <c r="K168" s="148"/>
      <c r="L168" s="148"/>
      <c r="M168" s="148"/>
      <c r="N168" s="149"/>
      <c r="O168" s="149"/>
      <c r="P168" s="149"/>
      <c r="Q168" s="149"/>
      <c r="R168" s="149"/>
      <c r="S168" s="148"/>
    </row>
    <row r="169" spans="1:19" ht="12.5">
      <c r="A169" s="148"/>
      <c r="B169" s="148"/>
      <c r="C169" s="148"/>
      <c r="D169" s="148"/>
      <c r="E169" s="148"/>
      <c r="F169" s="148"/>
      <c r="G169" s="148"/>
      <c r="H169" s="148"/>
      <c r="I169" s="148"/>
      <c r="J169" s="148"/>
      <c r="K169" s="148"/>
      <c r="L169" s="148"/>
      <c r="M169" s="148"/>
      <c r="N169" s="149"/>
      <c r="O169" s="149"/>
      <c r="P169" s="149"/>
      <c r="Q169" s="149"/>
      <c r="R169" s="149"/>
      <c r="S169" s="148"/>
    </row>
    <row r="170" spans="1:19" ht="12.5">
      <c r="A170" s="148"/>
      <c r="B170" s="148"/>
      <c r="C170" s="148"/>
      <c r="D170" s="148"/>
      <c r="E170" s="148"/>
      <c r="F170" s="148"/>
      <c r="G170" s="148"/>
      <c r="H170" s="148"/>
      <c r="I170" s="148"/>
      <c r="J170" s="148"/>
      <c r="K170" s="148"/>
      <c r="L170" s="148"/>
      <c r="M170" s="148"/>
      <c r="N170" s="149"/>
      <c r="O170" s="149"/>
      <c r="P170" s="149"/>
      <c r="Q170" s="149"/>
      <c r="R170" s="149"/>
      <c r="S170" s="148"/>
    </row>
    <row r="171" spans="1:19" ht="12.5">
      <c r="A171" s="148"/>
      <c r="B171" s="148"/>
      <c r="C171" s="148"/>
      <c r="D171" s="148"/>
      <c r="E171" s="148"/>
      <c r="F171" s="148"/>
      <c r="G171" s="148"/>
      <c r="H171" s="148"/>
      <c r="I171" s="148"/>
      <c r="J171" s="148"/>
      <c r="K171" s="148"/>
      <c r="L171" s="148"/>
      <c r="M171" s="148"/>
      <c r="N171" s="149"/>
      <c r="O171" s="149"/>
      <c r="P171" s="149"/>
      <c r="Q171" s="149"/>
      <c r="R171" s="149"/>
      <c r="S171" s="148"/>
    </row>
    <row r="172" spans="1:19" ht="12.5">
      <c r="A172" s="148"/>
      <c r="B172" s="148"/>
      <c r="C172" s="148"/>
      <c r="D172" s="148"/>
      <c r="E172" s="148"/>
      <c r="F172" s="148"/>
      <c r="G172" s="148"/>
      <c r="H172" s="148"/>
      <c r="I172" s="148"/>
      <c r="J172" s="148"/>
      <c r="K172" s="148"/>
      <c r="L172" s="148"/>
      <c r="M172" s="148"/>
      <c r="N172" s="149"/>
      <c r="O172" s="149"/>
      <c r="P172" s="149"/>
      <c r="Q172" s="149"/>
      <c r="R172" s="149"/>
      <c r="S172" s="148"/>
    </row>
    <row r="173" spans="1:19" ht="12.5">
      <c r="A173" s="148"/>
      <c r="B173" s="148"/>
      <c r="C173" s="148"/>
      <c r="D173" s="148"/>
      <c r="E173" s="148"/>
      <c r="F173" s="148"/>
      <c r="G173" s="148"/>
      <c r="H173" s="148"/>
      <c r="I173" s="148"/>
      <c r="J173" s="148"/>
      <c r="K173" s="148"/>
      <c r="L173" s="148"/>
      <c r="M173" s="148"/>
      <c r="N173" s="149"/>
      <c r="O173" s="149"/>
      <c r="P173" s="149"/>
      <c r="Q173" s="149"/>
      <c r="R173" s="149"/>
      <c r="S173" s="148"/>
    </row>
    <row r="174" spans="1:19" ht="12.5">
      <c r="A174" s="148"/>
      <c r="B174" s="148"/>
      <c r="C174" s="148"/>
      <c r="D174" s="148"/>
      <c r="E174" s="148"/>
      <c r="F174" s="148"/>
      <c r="G174" s="148"/>
      <c r="H174" s="148"/>
      <c r="I174" s="148"/>
      <c r="J174" s="148"/>
      <c r="K174" s="148"/>
      <c r="L174" s="148"/>
      <c r="M174" s="148"/>
      <c r="N174" s="149"/>
      <c r="O174" s="149"/>
      <c r="P174" s="149"/>
      <c r="Q174" s="149"/>
      <c r="R174" s="149"/>
      <c r="S174" s="148"/>
    </row>
    <row r="175" spans="1:19" ht="12.5">
      <c r="A175" s="148"/>
      <c r="B175" s="148"/>
      <c r="C175" s="148"/>
      <c r="D175" s="148"/>
      <c r="E175" s="148"/>
      <c r="F175" s="148"/>
      <c r="G175" s="148"/>
      <c r="H175" s="148"/>
      <c r="I175" s="148"/>
      <c r="J175" s="148"/>
      <c r="K175" s="148"/>
      <c r="L175" s="148"/>
      <c r="M175" s="148"/>
      <c r="N175" s="149"/>
      <c r="O175" s="149"/>
      <c r="P175" s="149"/>
      <c r="Q175" s="149"/>
      <c r="R175" s="149"/>
      <c r="S175" s="148"/>
    </row>
    <row r="176" spans="1:19" ht="12.5">
      <c r="A176" s="148"/>
      <c r="B176" s="148"/>
      <c r="C176" s="148"/>
      <c r="D176" s="148"/>
      <c r="E176" s="148"/>
      <c r="F176" s="148"/>
      <c r="G176" s="148"/>
      <c r="H176" s="148"/>
      <c r="I176" s="148"/>
      <c r="J176" s="148"/>
      <c r="K176" s="148"/>
      <c r="L176" s="148"/>
      <c r="M176" s="148"/>
      <c r="N176" s="149"/>
      <c r="O176" s="149"/>
      <c r="P176" s="149"/>
      <c r="Q176" s="149"/>
      <c r="R176" s="149"/>
      <c r="S176" s="148"/>
    </row>
    <row r="177" spans="1:19" ht="12.5">
      <c r="A177" s="148"/>
      <c r="B177" s="148"/>
      <c r="C177" s="148"/>
      <c r="D177" s="148"/>
      <c r="E177" s="148"/>
      <c r="F177" s="148"/>
      <c r="G177" s="148"/>
      <c r="H177" s="148"/>
      <c r="I177" s="148"/>
      <c r="J177" s="148"/>
      <c r="K177" s="148"/>
      <c r="L177" s="148"/>
      <c r="M177" s="148"/>
      <c r="N177" s="149"/>
      <c r="O177" s="149"/>
      <c r="P177" s="149"/>
      <c r="Q177" s="149"/>
      <c r="R177" s="149"/>
      <c r="S177" s="148"/>
    </row>
    <row r="178" spans="1:19" ht="12.5">
      <c r="A178" s="148"/>
      <c r="B178" s="148"/>
      <c r="C178" s="148"/>
      <c r="D178" s="148"/>
      <c r="E178" s="148"/>
      <c r="F178" s="148"/>
      <c r="G178" s="148"/>
      <c r="H178" s="148"/>
      <c r="I178" s="148"/>
      <c r="J178" s="148"/>
      <c r="K178" s="148"/>
      <c r="L178" s="148"/>
      <c r="M178" s="148"/>
      <c r="N178" s="149"/>
      <c r="O178" s="149"/>
      <c r="P178" s="149"/>
      <c r="Q178" s="149"/>
      <c r="R178" s="149"/>
      <c r="S178" s="148"/>
    </row>
    <row r="179" spans="1:19" ht="12.5">
      <c r="A179" s="148"/>
      <c r="B179" s="148"/>
      <c r="C179" s="148"/>
      <c r="D179" s="148"/>
      <c r="E179" s="148"/>
      <c r="F179" s="148"/>
      <c r="G179" s="148"/>
      <c r="H179" s="148"/>
      <c r="I179" s="148"/>
      <c r="J179" s="148"/>
      <c r="K179" s="148"/>
      <c r="L179" s="148"/>
      <c r="M179" s="148"/>
      <c r="N179" s="149"/>
      <c r="O179" s="149"/>
      <c r="P179" s="149"/>
      <c r="Q179" s="149"/>
      <c r="R179" s="149"/>
      <c r="S179" s="148"/>
    </row>
    <row r="180" spans="1:19" ht="12.5">
      <c r="A180" s="148"/>
      <c r="B180" s="148"/>
      <c r="C180" s="148"/>
      <c r="D180" s="148"/>
      <c r="E180" s="148"/>
      <c r="F180" s="148"/>
      <c r="G180" s="148"/>
      <c r="H180" s="148"/>
      <c r="I180" s="148"/>
      <c r="J180" s="148"/>
      <c r="K180" s="148"/>
      <c r="L180" s="148"/>
      <c r="M180" s="148"/>
      <c r="N180" s="149"/>
      <c r="O180" s="149"/>
      <c r="P180" s="149"/>
      <c r="Q180" s="149"/>
      <c r="R180" s="149"/>
      <c r="S180" s="148"/>
    </row>
    <row r="181" spans="1:19" ht="12.5">
      <c r="A181" s="148"/>
      <c r="B181" s="148"/>
      <c r="C181" s="148"/>
      <c r="D181" s="148"/>
      <c r="E181" s="148"/>
      <c r="F181" s="148"/>
      <c r="G181" s="148"/>
      <c r="H181" s="148"/>
      <c r="I181" s="148"/>
      <c r="J181" s="148"/>
      <c r="K181" s="148"/>
      <c r="L181" s="148"/>
      <c r="M181" s="148"/>
      <c r="N181" s="149"/>
      <c r="O181" s="149"/>
      <c r="P181" s="149"/>
      <c r="Q181" s="149"/>
      <c r="R181" s="149"/>
      <c r="S181" s="148"/>
    </row>
    <row r="182" spans="1:19" ht="12.5">
      <c r="A182" s="148"/>
      <c r="B182" s="148"/>
      <c r="C182" s="148"/>
      <c r="D182" s="148"/>
      <c r="E182" s="148"/>
      <c r="F182" s="148"/>
      <c r="G182" s="148"/>
      <c r="H182" s="148"/>
      <c r="I182" s="148"/>
      <c r="J182" s="148"/>
      <c r="K182" s="148"/>
      <c r="L182" s="148"/>
      <c r="M182" s="148"/>
      <c r="N182" s="149"/>
      <c r="O182" s="149"/>
      <c r="P182" s="149"/>
      <c r="Q182" s="149"/>
      <c r="R182" s="149"/>
      <c r="S182" s="148"/>
    </row>
    <row r="183" spans="1:19" ht="12.5">
      <c r="A183" s="148"/>
      <c r="B183" s="148"/>
      <c r="C183" s="148"/>
      <c r="D183" s="148"/>
      <c r="E183" s="148"/>
      <c r="F183" s="148"/>
      <c r="G183" s="148"/>
      <c r="H183" s="148"/>
      <c r="I183" s="148"/>
      <c r="J183" s="148"/>
      <c r="K183" s="148"/>
      <c r="L183" s="148"/>
      <c r="M183" s="148"/>
      <c r="N183" s="149"/>
      <c r="O183" s="149"/>
      <c r="P183" s="149"/>
      <c r="Q183" s="149"/>
      <c r="R183" s="149"/>
      <c r="S183" s="148"/>
    </row>
    <row r="184" spans="1:19" ht="12.5">
      <c r="A184" s="148"/>
      <c r="B184" s="148"/>
      <c r="C184" s="148"/>
      <c r="D184" s="148"/>
      <c r="E184" s="148"/>
      <c r="F184" s="148"/>
      <c r="G184" s="148"/>
      <c r="H184" s="148"/>
      <c r="I184" s="148"/>
      <c r="J184" s="148"/>
      <c r="K184" s="148"/>
      <c r="L184" s="148"/>
      <c r="M184" s="148"/>
      <c r="N184" s="149"/>
      <c r="O184" s="149"/>
      <c r="P184" s="149"/>
      <c r="Q184" s="149"/>
      <c r="R184" s="149"/>
      <c r="S184" s="148"/>
    </row>
    <row r="185" spans="1:19" ht="12.5">
      <c r="A185" s="148"/>
      <c r="B185" s="148"/>
      <c r="C185" s="148"/>
      <c r="D185" s="148"/>
      <c r="E185" s="148"/>
      <c r="F185" s="148"/>
      <c r="G185" s="148"/>
      <c r="H185" s="148"/>
      <c r="I185" s="148"/>
      <c r="J185" s="148"/>
      <c r="K185" s="148"/>
      <c r="L185" s="148"/>
      <c r="M185" s="148"/>
      <c r="N185" s="149"/>
      <c r="O185" s="149"/>
      <c r="P185" s="149"/>
      <c r="Q185" s="149"/>
      <c r="R185" s="149"/>
      <c r="S185" s="148"/>
    </row>
    <row r="186" spans="1:19" ht="12.5">
      <c r="A186" s="148"/>
      <c r="B186" s="148"/>
      <c r="C186" s="148"/>
      <c r="D186" s="148"/>
      <c r="E186" s="148"/>
      <c r="F186" s="148"/>
      <c r="G186" s="148"/>
      <c r="H186" s="148"/>
      <c r="I186" s="148"/>
      <c r="J186" s="148"/>
      <c r="K186" s="148"/>
      <c r="L186" s="148"/>
      <c r="M186" s="148"/>
      <c r="N186" s="149"/>
      <c r="O186" s="149"/>
      <c r="P186" s="149"/>
      <c r="Q186" s="149"/>
      <c r="R186" s="149"/>
      <c r="S186" s="148"/>
    </row>
    <row r="187" spans="1:19" ht="12.5">
      <c r="A187" s="148"/>
      <c r="B187" s="148"/>
      <c r="C187" s="148"/>
      <c r="D187" s="148"/>
      <c r="E187" s="148"/>
      <c r="F187" s="148"/>
      <c r="G187" s="148"/>
      <c r="H187" s="148"/>
      <c r="I187" s="148"/>
      <c r="J187" s="148"/>
      <c r="K187" s="148"/>
      <c r="L187" s="148"/>
      <c r="M187" s="148"/>
      <c r="N187" s="149"/>
      <c r="O187" s="149"/>
      <c r="P187" s="149"/>
      <c r="Q187" s="149"/>
      <c r="R187" s="149"/>
      <c r="S187" s="148"/>
    </row>
    <row r="188" spans="1:19" ht="12.5">
      <c r="A188" s="148"/>
      <c r="B188" s="148"/>
      <c r="C188" s="148"/>
      <c r="D188" s="148"/>
      <c r="E188" s="148"/>
      <c r="F188" s="148"/>
      <c r="G188" s="148"/>
      <c r="H188" s="148"/>
      <c r="I188" s="148"/>
      <c r="J188" s="148"/>
      <c r="K188" s="148"/>
      <c r="L188" s="148"/>
      <c r="M188" s="148"/>
      <c r="N188" s="149"/>
      <c r="O188" s="149"/>
      <c r="P188" s="149"/>
      <c r="Q188" s="149"/>
      <c r="R188" s="149"/>
      <c r="S188" s="148"/>
    </row>
    <row r="189" spans="1:19" ht="12.5">
      <c r="A189" s="148"/>
      <c r="B189" s="148"/>
      <c r="C189" s="148"/>
      <c r="D189" s="148"/>
      <c r="E189" s="148"/>
      <c r="F189" s="148"/>
      <c r="G189" s="148"/>
      <c r="H189" s="148"/>
      <c r="I189" s="148"/>
      <c r="J189" s="148"/>
      <c r="K189" s="148"/>
      <c r="L189" s="148"/>
      <c r="M189" s="148"/>
      <c r="N189" s="149"/>
      <c r="O189" s="149"/>
      <c r="P189" s="149"/>
      <c r="Q189" s="149"/>
      <c r="R189" s="149"/>
      <c r="S189" s="148"/>
    </row>
    <row r="190" spans="1:19" ht="12.5">
      <c r="A190" s="148"/>
      <c r="B190" s="148"/>
      <c r="C190" s="148"/>
      <c r="D190" s="148"/>
      <c r="E190" s="148"/>
      <c r="F190" s="148"/>
      <c r="G190" s="148"/>
      <c r="H190" s="148"/>
      <c r="I190" s="148"/>
      <c r="J190" s="148"/>
      <c r="K190" s="148"/>
      <c r="L190" s="148"/>
      <c r="M190" s="148"/>
      <c r="N190" s="149"/>
      <c r="O190" s="149"/>
      <c r="P190" s="149"/>
      <c r="Q190" s="149"/>
      <c r="R190" s="149"/>
      <c r="S190" s="148"/>
    </row>
    <row r="191" spans="1:19" ht="12.5">
      <c r="A191" s="148"/>
      <c r="B191" s="148"/>
      <c r="C191" s="148"/>
      <c r="D191" s="148"/>
      <c r="E191" s="148"/>
      <c r="F191" s="148"/>
      <c r="G191" s="148"/>
      <c r="H191" s="148"/>
      <c r="I191" s="148"/>
      <c r="J191" s="148"/>
      <c r="K191" s="148"/>
      <c r="L191" s="148"/>
      <c r="M191" s="148"/>
      <c r="N191" s="149"/>
      <c r="O191" s="149"/>
      <c r="P191" s="149"/>
      <c r="Q191" s="149"/>
      <c r="R191" s="149"/>
      <c r="S191" s="148"/>
    </row>
    <row r="192" spans="1:19" ht="12.5">
      <c r="A192" s="148"/>
      <c r="B192" s="148"/>
      <c r="C192" s="148"/>
      <c r="D192" s="148"/>
      <c r="E192" s="148"/>
      <c r="F192" s="148"/>
      <c r="G192" s="148"/>
      <c r="H192" s="148"/>
      <c r="I192" s="148"/>
      <c r="J192" s="148"/>
      <c r="K192" s="148"/>
      <c r="L192" s="148"/>
      <c r="M192" s="148"/>
      <c r="N192" s="149"/>
      <c r="O192" s="149"/>
      <c r="P192" s="149"/>
      <c r="Q192" s="149"/>
      <c r="R192" s="149"/>
      <c r="S192" s="148"/>
    </row>
    <row r="193" spans="1:19" ht="12.5">
      <c r="A193" s="148"/>
      <c r="B193" s="148"/>
      <c r="C193" s="148"/>
      <c r="D193" s="148"/>
      <c r="E193" s="148"/>
      <c r="F193" s="148"/>
      <c r="G193" s="148"/>
      <c r="H193" s="148"/>
      <c r="I193" s="148"/>
      <c r="J193" s="148"/>
      <c r="K193" s="148"/>
      <c r="L193" s="148"/>
      <c r="M193" s="148"/>
      <c r="N193" s="149"/>
      <c r="O193" s="149"/>
      <c r="P193" s="149"/>
      <c r="Q193" s="149"/>
      <c r="R193" s="149"/>
      <c r="S193" s="148"/>
    </row>
    <row r="194" spans="1:19" ht="12.5">
      <c r="A194" s="148"/>
      <c r="B194" s="148"/>
      <c r="C194" s="148"/>
      <c r="D194" s="148"/>
      <c r="E194" s="148"/>
      <c r="F194" s="148"/>
      <c r="G194" s="148"/>
      <c r="H194" s="148"/>
      <c r="I194" s="148"/>
      <c r="J194" s="148"/>
      <c r="K194" s="148"/>
      <c r="L194" s="148"/>
      <c r="M194" s="148"/>
      <c r="N194" s="149"/>
      <c r="O194" s="149"/>
      <c r="P194" s="149"/>
      <c r="Q194" s="149"/>
      <c r="R194" s="149"/>
      <c r="S194" s="148"/>
    </row>
    <row r="195" spans="1:19" ht="12.5">
      <c r="A195" s="148"/>
      <c r="B195" s="148"/>
      <c r="C195" s="148"/>
      <c r="D195" s="148"/>
      <c r="E195" s="148"/>
      <c r="F195" s="148"/>
      <c r="G195" s="148"/>
      <c r="H195" s="148"/>
      <c r="I195" s="148"/>
      <c r="J195" s="148"/>
      <c r="K195" s="148"/>
      <c r="L195" s="148"/>
      <c r="M195" s="148"/>
      <c r="N195" s="149"/>
      <c r="O195" s="149"/>
      <c r="P195" s="149"/>
      <c r="Q195" s="149"/>
      <c r="R195" s="149"/>
      <c r="S195" s="148"/>
    </row>
    <row r="196" spans="1:19" ht="12.5">
      <c r="A196" s="148"/>
      <c r="B196" s="148"/>
      <c r="C196" s="148"/>
      <c r="D196" s="148"/>
      <c r="E196" s="148"/>
      <c r="F196" s="148"/>
      <c r="G196" s="148"/>
      <c r="H196" s="148"/>
      <c r="I196" s="148"/>
      <c r="J196" s="148"/>
      <c r="K196" s="148"/>
      <c r="L196" s="148"/>
      <c r="M196" s="148"/>
      <c r="N196" s="149"/>
      <c r="O196" s="149"/>
      <c r="P196" s="149"/>
      <c r="Q196" s="149"/>
      <c r="R196" s="149"/>
      <c r="S196" s="148"/>
    </row>
    <row r="197" spans="1:19" ht="12.5">
      <c r="A197" s="148"/>
      <c r="B197" s="148"/>
      <c r="C197" s="148"/>
      <c r="D197" s="148"/>
      <c r="E197" s="148"/>
      <c r="F197" s="148"/>
      <c r="G197" s="148"/>
      <c r="H197" s="148"/>
      <c r="I197" s="148"/>
      <c r="J197" s="148"/>
      <c r="K197" s="148"/>
      <c r="L197" s="148"/>
      <c r="M197" s="148"/>
      <c r="N197" s="149"/>
      <c r="O197" s="149"/>
      <c r="P197" s="149"/>
      <c r="Q197" s="149"/>
      <c r="R197" s="149"/>
      <c r="S197" s="148"/>
    </row>
    <row r="198" spans="1:19" ht="12.5">
      <c r="A198" s="148"/>
      <c r="B198" s="148"/>
      <c r="C198" s="148"/>
      <c r="D198" s="148"/>
      <c r="E198" s="148"/>
      <c r="F198" s="148"/>
      <c r="G198" s="148"/>
      <c r="H198" s="148"/>
      <c r="I198" s="148"/>
      <c r="J198" s="148"/>
      <c r="K198" s="148"/>
      <c r="L198" s="148"/>
      <c r="M198" s="148"/>
      <c r="N198" s="149"/>
      <c r="O198" s="149"/>
      <c r="P198" s="149"/>
      <c r="Q198" s="149"/>
      <c r="R198" s="149"/>
      <c r="S198" s="148"/>
    </row>
    <row r="199" spans="1:19" ht="12.5">
      <c r="A199" s="148"/>
      <c r="B199" s="148"/>
      <c r="C199" s="148"/>
      <c r="D199" s="148"/>
      <c r="E199" s="148"/>
      <c r="F199" s="148"/>
      <c r="G199" s="148"/>
      <c r="H199" s="148"/>
      <c r="I199" s="148"/>
      <c r="J199" s="148"/>
      <c r="K199" s="148"/>
      <c r="L199" s="148"/>
      <c r="M199" s="148"/>
      <c r="N199" s="149"/>
      <c r="O199" s="149"/>
      <c r="P199" s="149"/>
      <c r="Q199" s="149"/>
      <c r="R199" s="149"/>
      <c r="S199" s="148"/>
    </row>
    <row r="200" spans="1:19" ht="12.5">
      <c r="A200" s="148"/>
      <c r="B200" s="148"/>
      <c r="C200" s="148"/>
      <c r="D200" s="148"/>
      <c r="E200" s="148"/>
      <c r="F200" s="148"/>
      <c r="G200" s="148"/>
      <c r="H200" s="148"/>
      <c r="I200" s="148"/>
      <c r="J200" s="148"/>
      <c r="K200" s="148"/>
      <c r="L200" s="148"/>
      <c r="M200" s="148"/>
      <c r="N200" s="149"/>
      <c r="O200" s="149"/>
      <c r="P200" s="149"/>
      <c r="Q200" s="149"/>
      <c r="R200" s="149"/>
      <c r="S200" s="148"/>
    </row>
    <row r="201" spans="1:19" ht="12.5">
      <c r="A201" s="148"/>
      <c r="B201" s="148"/>
      <c r="C201" s="148"/>
      <c r="D201" s="148"/>
      <c r="E201" s="148"/>
      <c r="F201" s="148"/>
      <c r="G201" s="148"/>
      <c r="H201" s="148"/>
      <c r="I201" s="148"/>
      <c r="J201" s="148"/>
      <c r="K201" s="148"/>
      <c r="L201" s="148"/>
      <c r="M201" s="148"/>
      <c r="N201" s="149"/>
      <c r="O201" s="149"/>
      <c r="P201" s="149"/>
      <c r="Q201" s="149"/>
      <c r="R201" s="149"/>
      <c r="S201" s="148"/>
    </row>
    <row r="202" spans="1:19" ht="12.5">
      <c r="A202" s="148"/>
      <c r="B202" s="148"/>
      <c r="C202" s="148"/>
      <c r="D202" s="148"/>
      <c r="E202" s="148"/>
      <c r="F202" s="148"/>
      <c r="G202" s="148"/>
      <c r="H202" s="148"/>
      <c r="I202" s="148"/>
      <c r="J202" s="148"/>
      <c r="K202" s="148"/>
      <c r="L202" s="148"/>
      <c r="M202" s="148"/>
      <c r="N202" s="149"/>
      <c r="O202" s="149"/>
      <c r="P202" s="149"/>
      <c r="Q202" s="149"/>
      <c r="R202" s="149"/>
      <c r="S202" s="148"/>
    </row>
    <row r="203" spans="1:19" ht="12.5">
      <c r="A203" s="148"/>
      <c r="B203" s="148"/>
      <c r="C203" s="148"/>
      <c r="D203" s="148"/>
      <c r="E203" s="148"/>
      <c r="F203" s="148"/>
      <c r="G203" s="148"/>
      <c r="H203" s="148"/>
      <c r="I203" s="148"/>
      <c r="J203" s="148"/>
      <c r="K203" s="148"/>
      <c r="L203" s="148"/>
      <c r="M203" s="148"/>
      <c r="N203" s="149"/>
      <c r="O203" s="149"/>
      <c r="P203" s="149"/>
      <c r="Q203" s="149"/>
      <c r="R203" s="149"/>
      <c r="S203" s="148"/>
    </row>
    <row r="204" spans="1:19" ht="12.5">
      <c r="A204" s="148"/>
      <c r="B204" s="148"/>
      <c r="C204" s="148"/>
      <c r="D204" s="148"/>
      <c r="E204" s="148"/>
      <c r="F204" s="148"/>
      <c r="G204" s="148"/>
      <c r="H204" s="148"/>
      <c r="I204" s="148"/>
      <c r="J204" s="148"/>
      <c r="K204" s="148"/>
      <c r="L204" s="148"/>
      <c r="M204" s="148"/>
      <c r="N204" s="149"/>
      <c r="O204" s="149"/>
      <c r="P204" s="149"/>
      <c r="Q204" s="149"/>
      <c r="R204" s="149"/>
      <c r="S204" s="148"/>
    </row>
    <row r="205" spans="1:19" ht="12.5">
      <c r="A205" s="148"/>
      <c r="B205" s="148"/>
      <c r="C205" s="148"/>
      <c r="D205" s="148"/>
      <c r="E205" s="148"/>
      <c r="F205" s="148"/>
      <c r="G205" s="148"/>
      <c r="H205" s="148"/>
      <c r="I205" s="148"/>
      <c r="J205" s="148"/>
      <c r="K205" s="148"/>
      <c r="L205" s="148"/>
      <c r="M205" s="148"/>
      <c r="N205" s="149"/>
      <c r="O205" s="149"/>
      <c r="P205" s="149"/>
      <c r="Q205" s="149"/>
      <c r="R205" s="149"/>
      <c r="S205" s="148"/>
    </row>
    <row r="206" spans="1:19" ht="12.5">
      <c r="A206" s="148"/>
      <c r="B206" s="148"/>
      <c r="C206" s="148"/>
      <c r="D206" s="148"/>
      <c r="E206" s="148"/>
      <c r="F206" s="148"/>
      <c r="G206" s="148"/>
      <c r="H206" s="148"/>
      <c r="I206" s="148"/>
      <c r="J206" s="148"/>
      <c r="K206" s="148"/>
      <c r="L206" s="148"/>
      <c r="M206" s="148"/>
      <c r="N206" s="149"/>
      <c r="O206" s="149"/>
      <c r="P206" s="149"/>
      <c r="Q206" s="149"/>
      <c r="R206" s="149"/>
      <c r="S206" s="148"/>
    </row>
    <row r="207" spans="1:19" ht="12.5">
      <c r="A207" s="148"/>
      <c r="B207" s="148"/>
      <c r="C207" s="148"/>
      <c r="D207" s="148"/>
      <c r="E207" s="148"/>
      <c r="F207" s="148"/>
      <c r="G207" s="148"/>
      <c r="H207" s="148"/>
      <c r="I207" s="148"/>
      <c r="J207" s="148"/>
      <c r="K207" s="148"/>
      <c r="L207" s="148"/>
      <c r="M207" s="148"/>
      <c r="N207" s="149"/>
      <c r="O207" s="149"/>
      <c r="P207" s="149"/>
      <c r="Q207" s="149"/>
      <c r="R207" s="149"/>
      <c r="S207" s="148"/>
    </row>
    <row r="208" spans="1:19" ht="12.5">
      <c r="A208" s="148"/>
      <c r="B208" s="148"/>
      <c r="C208" s="148"/>
      <c r="D208" s="148"/>
      <c r="E208" s="148"/>
      <c r="F208" s="148"/>
      <c r="G208" s="148"/>
      <c r="H208" s="148"/>
      <c r="I208" s="148"/>
      <c r="J208" s="148"/>
      <c r="K208" s="148"/>
      <c r="L208" s="148"/>
      <c r="M208" s="148"/>
      <c r="N208" s="149"/>
      <c r="O208" s="149"/>
      <c r="P208" s="149"/>
      <c r="Q208" s="149"/>
      <c r="R208" s="149"/>
      <c r="S208" s="148"/>
    </row>
    <row r="209" spans="1:19" ht="12.5">
      <c r="A209" s="148"/>
      <c r="B209" s="148"/>
      <c r="C209" s="148"/>
      <c r="D209" s="148"/>
      <c r="E209" s="148"/>
      <c r="F209" s="148"/>
      <c r="G209" s="148"/>
      <c r="H209" s="148"/>
      <c r="I209" s="148"/>
      <c r="J209" s="148"/>
      <c r="K209" s="148"/>
      <c r="L209" s="148"/>
      <c r="M209" s="148"/>
      <c r="N209" s="149"/>
      <c r="O209" s="149"/>
      <c r="P209" s="149"/>
      <c r="Q209" s="149"/>
      <c r="R209" s="149"/>
      <c r="S209" s="148"/>
    </row>
    <row r="210" spans="1:19" ht="12.5">
      <c r="A210" s="148"/>
      <c r="B210" s="148"/>
      <c r="C210" s="148"/>
      <c r="D210" s="148"/>
      <c r="E210" s="148"/>
      <c r="F210" s="148"/>
      <c r="G210" s="148"/>
      <c r="H210" s="148"/>
      <c r="I210" s="148"/>
      <c r="J210" s="148"/>
      <c r="K210" s="148"/>
      <c r="L210" s="148"/>
      <c r="M210" s="148"/>
      <c r="N210" s="149"/>
      <c r="O210" s="149"/>
      <c r="P210" s="149"/>
      <c r="Q210" s="149"/>
      <c r="R210" s="149"/>
      <c r="S210" s="148"/>
    </row>
    <row r="211" spans="1:19" ht="12.5">
      <c r="A211" s="148"/>
      <c r="B211" s="148"/>
      <c r="C211" s="148"/>
      <c r="D211" s="148"/>
      <c r="E211" s="148"/>
      <c r="F211" s="148"/>
      <c r="G211" s="148"/>
      <c r="H211" s="148"/>
      <c r="I211" s="148"/>
      <c r="J211" s="148"/>
      <c r="K211" s="148"/>
      <c r="L211" s="148"/>
      <c r="M211" s="148"/>
      <c r="N211" s="149"/>
      <c r="O211" s="149"/>
      <c r="P211" s="149"/>
      <c r="Q211" s="149"/>
      <c r="R211" s="149"/>
      <c r="S211" s="148"/>
    </row>
    <row r="212" spans="1:19" ht="12.5">
      <c r="A212" s="148"/>
      <c r="B212" s="148"/>
      <c r="C212" s="148"/>
      <c r="D212" s="148"/>
      <c r="E212" s="148"/>
      <c r="F212" s="148"/>
      <c r="G212" s="148"/>
      <c r="H212" s="148"/>
      <c r="I212" s="148"/>
      <c r="J212" s="148"/>
      <c r="K212" s="148"/>
      <c r="L212" s="148"/>
      <c r="M212" s="148"/>
      <c r="N212" s="149"/>
      <c r="O212" s="149"/>
      <c r="P212" s="149"/>
      <c r="Q212" s="149"/>
      <c r="R212" s="149"/>
      <c r="S212" s="148"/>
    </row>
    <row r="213" spans="1:19" ht="12.5">
      <c r="A213" s="148"/>
      <c r="B213" s="148"/>
      <c r="C213" s="148"/>
      <c r="D213" s="148"/>
      <c r="E213" s="148"/>
      <c r="F213" s="148"/>
      <c r="G213" s="148"/>
      <c r="H213" s="148"/>
      <c r="I213" s="148"/>
      <c r="J213" s="148"/>
      <c r="K213" s="148"/>
      <c r="L213" s="148"/>
      <c r="M213" s="148"/>
      <c r="N213" s="149"/>
      <c r="O213" s="149"/>
      <c r="P213" s="149"/>
      <c r="Q213" s="149"/>
      <c r="R213" s="149"/>
      <c r="S213" s="148"/>
    </row>
    <row r="214" spans="1:19" ht="12.5">
      <c r="A214" s="148"/>
      <c r="B214" s="148"/>
      <c r="C214" s="148"/>
      <c r="D214" s="148"/>
      <c r="E214" s="148"/>
      <c r="F214" s="148"/>
      <c r="G214" s="148"/>
      <c r="H214" s="148"/>
      <c r="I214" s="148"/>
      <c r="J214" s="148"/>
      <c r="K214" s="148"/>
      <c r="L214" s="148"/>
      <c r="M214" s="148"/>
      <c r="N214" s="149"/>
      <c r="O214" s="149"/>
      <c r="P214" s="149"/>
      <c r="Q214" s="149"/>
      <c r="R214" s="149"/>
      <c r="S214" s="148"/>
    </row>
    <row r="215" spans="1:19" ht="12.5">
      <c r="A215" s="148"/>
      <c r="B215" s="148"/>
      <c r="C215" s="148"/>
      <c r="D215" s="148"/>
      <c r="E215" s="148"/>
      <c r="F215" s="148"/>
      <c r="G215" s="148"/>
      <c r="H215" s="148"/>
      <c r="I215" s="148"/>
      <c r="J215" s="148"/>
      <c r="K215" s="148"/>
      <c r="L215" s="148"/>
      <c r="M215" s="148"/>
      <c r="N215" s="149"/>
      <c r="O215" s="149"/>
      <c r="P215" s="149"/>
      <c r="Q215" s="149"/>
      <c r="R215" s="149"/>
      <c r="S215" s="148"/>
    </row>
    <row r="216" spans="1:19" ht="12.5">
      <c r="A216" s="148"/>
      <c r="B216" s="148"/>
      <c r="C216" s="148"/>
      <c r="D216" s="148"/>
      <c r="E216" s="148"/>
      <c r="F216" s="148"/>
      <c r="G216" s="148"/>
      <c r="H216" s="148"/>
      <c r="I216" s="148"/>
      <c r="J216" s="148"/>
      <c r="K216" s="148"/>
      <c r="L216" s="148"/>
      <c r="M216" s="148"/>
      <c r="N216" s="149"/>
      <c r="O216" s="149"/>
      <c r="P216" s="149"/>
      <c r="Q216" s="149"/>
      <c r="R216" s="149"/>
      <c r="S216" s="148"/>
    </row>
    <row r="217" spans="1:19" ht="12.5">
      <c r="A217" s="148"/>
      <c r="B217" s="148"/>
      <c r="C217" s="148"/>
      <c r="D217" s="148"/>
      <c r="E217" s="148"/>
      <c r="F217" s="148"/>
      <c r="G217" s="148"/>
      <c r="H217" s="148"/>
      <c r="I217" s="148"/>
      <c r="J217" s="148"/>
      <c r="K217" s="148"/>
      <c r="L217" s="148"/>
      <c r="M217" s="148"/>
      <c r="N217" s="149"/>
      <c r="O217" s="149"/>
      <c r="P217" s="149"/>
      <c r="Q217" s="149"/>
      <c r="R217" s="149"/>
      <c r="S217" s="148"/>
    </row>
    <row r="218" spans="1:19" ht="12.5">
      <c r="A218" s="148"/>
      <c r="B218" s="148"/>
      <c r="C218" s="148"/>
      <c r="D218" s="148"/>
      <c r="E218" s="148"/>
      <c r="F218" s="148"/>
      <c r="G218" s="148"/>
      <c r="H218" s="148"/>
      <c r="I218" s="148"/>
      <c r="J218" s="148"/>
      <c r="K218" s="148"/>
      <c r="L218" s="148"/>
      <c r="M218" s="148"/>
      <c r="N218" s="149"/>
      <c r="O218" s="149"/>
      <c r="P218" s="149"/>
      <c r="Q218" s="149"/>
      <c r="R218" s="149"/>
      <c r="S218" s="148"/>
    </row>
    <row r="219" spans="1:19" ht="12.5">
      <c r="A219" s="148"/>
      <c r="B219" s="148"/>
      <c r="C219" s="148"/>
      <c r="D219" s="148"/>
      <c r="E219" s="148"/>
      <c r="F219" s="148"/>
      <c r="G219" s="148"/>
      <c r="H219" s="148"/>
      <c r="I219" s="148"/>
      <c r="J219" s="148"/>
      <c r="K219" s="148"/>
      <c r="L219" s="148"/>
      <c r="M219" s="148"/>
      <c r="N219" s="149"/>
      <c r="O219" s="149"/>
      <c r="P219" s="149"/>
      <c r="Q219" s="149"/>
      <c r="R219" s="149"/>
      <c r="S219" s="148"/>
    </row>
    <row r="220" spans="1:19" ht="12.5">
      <c r="A220" s="148"/>
      <c r="B220" s="148"/>
      <c r="C220" s="148"/>
      <c r="D220" s="148"/>
      <c r="E220" s="148"/>
      <c r="F220" s="148"/>
      <c r="G220" s="148"/>
      <c r="H220" s="148"/>
      <c r="I220" s="148"/>
      <c r="J220" s="148"/>
      <c r="K220" s="148"/>
      <c r="L220" s="148"/>
      <c r="M220" s="148"/>
      <c r="N220" s="149"/>
      <c r="O220" s="149"/>
      <c r="P220" s="149"/>
      <c r="Q220" s="149"/>
      <c r="R220" s="149"/>
      <c r="S220" s="148"/>
    </row>
    <row r="221" spans="1:19" ht="12.5">
      <c r="A221" s="148"/>
      <c r="B221" s="148"/>
      <c r="C221" s="148"/>
      <c r="D221" s="148"/>
      <c r="E221" s="148"/>
      <c r="F221" s="148"/>
      <c r="G221" s="148"/>
      <c r="H221" s="148"/>
      <c r="I221" s="148"/>
      <c r="J221" s="148"/>
      <c r="K221" s="148"/>
      <c r="L221" s="148"/>
      <c r="M221" s="148"/>
      <c r="N221" s="149"/>
      <c r="O221" s="149"/>
      <c r="P221" s="149"/>
      <c r="Q221" s="149"/>
      <c r="R221" s="149"/>
      <c r="S221" s="148"/>
    </row>
    <row r="222" spans="1:19" ht="12.5">
      <c r="A222" s="148"/>
      <c r="B222" s="148"/>
      <c r="C222" s="148"/>
      <c r="D222" s="148"/>
      <c r="E222" s="148"/>
      <c r="F222" s="148"/>
      <c r="G222" s="148"/>
      <c r="H222" s="148"/>
      <c r="I222" s="148"/>
      <c r="J222" s="148"/>
      <c r="K222" s="148"/>
      <c r="L222" s="148"/>
      <c r="M222" s="148"/>
      <c r="N222" s="149"/>
      <c r="O222" s="149"/>
      <c r="P222" s="149"/>
      <c r="Q222" s="149"/>
      <c r="R222" s="149"/>
      <c r="S222" s="148"/>
    </row>
    <row r="223" spans="1:19" ht="12.5">
      <c r="A223" s="148"/>
      <c r="B223" s="148"/>
      <c r="C223" s="148"/>
      <c r="D223" s="148"/>
      <c r="E223" s="148"/>
      <c r="F223" s="148"/>
      <c r="G223" s="148"/>
      <c r="H223" s="148"/>
      <c r="I223" s="148"/>
      <c r="J223" s="148"/>
      <c r="K223" s="148"/>
      <c r="L223" s="148"/>
      <c r="M223" s="148"/>
      <c r="N223" s="149"/>
      <c r="O223" s="149"/>
      <c r="P223" s="149"/>
      <c r="Q223" s="149"/>
      <c r="R223" s="149"/>
      <c r="S223" s="148"/>
    </row>
    <row r="224" spans="1:19" ht="12.5">
      <c r="A224" s="148"/>
      <c r="B224" s="148"/>
      <c r="C224" s="148"/>
      <c r="D224" s="148"/>
      <c r="E224" s="148"/>
      <c r="F224" s="148"/>
      <c r="G224" s="148"/>
      <c r="H224" s="148"/>
      <c r="I224" s="148"/>
      <c r="J224" s="148"/>
      <c r="K224" s="148"/>
      <c r="L224" s="148"/>
      <c r="M224" s="148"/>
      <c r="N224" s="149"/>
      <c r="O224" s="149"/>
      <c r="P224" s="149"/>
      <c r="Q224" s="149"/>
      <c r="R224" s="149"/>
      <c r="S224" s="148"/>
    </row>
    <row r="225" spans="1:19" ht="12.5">
      <c r="A225" s="148"/>
      <c r="B225" s="148"/>
      <c r="C225" s="148"/>
      <c r="D225" s="148"/>
      <c r="E225" s="148"/>
      <c r="F225" s="148"/>
      <c r="G225" s="148"/>
      <c r="H225" s="148"/>
      <c r="I225" s="148"/>
      <c r="J225" s="148"/>
      <c r="K225" s="148"/>
      <c r="L225" s="148"/>
      <c r="M225" s="148"/>
      <c r="N225" s="149"/>
      <c r="O225" s="149"/>
      <c r="P225" s="149"/>
      <c r="Q225" s="149"/>
      <c r="R225" s="149"/>
      <c r="S225" s="148"/>
    </row>
    <row r="226" spans="1:19" ht="12.5">
      <c r="A226" s="148"/>
      <c r="B226" s="148"/>
      <c r="C226" s="148"/>
      <c r="D226" s="148"/>
      <c r="E226" s="148"/>
      <c r="F226" s="148"/>
      <c r="G226" s="148"/>
      <c r="H226" s="148"/>
      <c r="I226" s="148"/>
      <c r="J226" s="148"/>
      <c r="K226" s="148"/>
      <c r="L226" s="148"/>
      <c r="M226" s="148"/>
      <c r="N226" s="149"/>
      <c r="O226" s="149"/>
      <c r="P226" s="149"/>
      <c r="Q226" s="149"/>
      <c r="R226" s="149"/>
      <c r="S226" s="148"/>
    </row>
    <row r="227" spans="1:19" ht="12.5">
      <c r="A227" s="148"/>
      <c r="B227" s="148"/>
      <c r="C227" s="148"/>
      <c r="D227" s="148"/>
      <c r="E227" s="148"/>
      <c r="F227" s="148"/>
      <c r="G227" s="148"/>
      <c r="H227" s="148"/>
      <c r="I227" s="148"/>
      <c r="J227" s="148"/>
      <c r="K227" s="148"/>
      <c r="L227" s="148"/>
      <c r="M227" s="148"/>
      <c r="N227" s="149"/>
      <c r="O227" s="149"/>
      <c r="P227" s="149"/>
      <c r="Q227" s="149"/>
      <c r="R227" s="149"/>
      <c r="S227" s="148"/>
    </row>
    <row r="228" spans="1:19" ht="12.5">
      <c r="A228" s="148"/>
      <c r="B228" s="148"/>
      <c r="C228" s="148"/>
      <c r="D228" s="148"/>
      <c r="E228" s="148"/>
      <c r="F228" s="148"/>
      <c r="G228" s="148"/>
      <c r="H228" s="148"/>
      <c r="I228" s="148"/>
      <c r="J228" s="148"/>
      <c r="K228" s="148"/>
      <c r="L228" s="148"/>
      <c r="M228" s="148"/>
      <c r="N228" s="149"/>
      <c r="O228" s="149"/>
      <c r="P228" s="149"/>
      <c r="Q228" s="149"/>
      <c r="R228" s="149"/>
      <c r="S228" s="148"/>
    </row>
    <row r="229" spans="1:19" ht="12.5">
      <c r="A229" s="148"/>
      <c r="B229" s="148"/>
      <c r="C229" s="148"/>
      <c r="D229" s="148"/>
      <c r="E229" s="148"/>
      <c r="F229" s="148"/>
      <c r="G229" s="148"/>
      <c r="H229" s="148"/>
      <c r="I229" s="148"/>
      <c r="J229" s="148"/>
      <c r="K229" s="148"/>
      <c r="L229" s="148"/>
      <c r="M229" s="148"/>
      <c r="N229" s="149"/>
      <c r="O229" s="149"/>
      <c r="P229" s="149"/>
      <c r="Q229" s="149"/>
      <c r="R229" s="149"/>
      <c r="S229" s="148"/>
    </row>
    <row r="230" spans="1:19" ht="12.5">
      <c r="A230" s="148"/>
      <c r="B230" s="148"/>
      <c r="C230" s="148"/>
      <c r="D230" s="148"/>
      <c r="E230" s="148"/>
      <c r="F230" s="148"/>
      <c r="G230" s="148"/>
      <c r="H230" s="148"/>
      <c r="I230" s="148"/>
      <c r="J230" s="148"/>
      <c r="K230" s="148"/>
      <c r="L230" s="148"/>
      <c r="M230" s="148"/>
      <c r="N230" s="149"/>
      <c r="O230" s="149"/>
      <c r="P230" s="149"/>
      <c r="Q230" s="149"/>
      <c r="R230" s="149"/>
      <c r="S230" s="148"/>
    </row>
    <row r="231" spans="1:19" ht="12.5">
      <c r="A231" s="148"/>
      <c r="B231" s="148"/>
      <c r="C231" s="148"/>
      <c r="D231" s="148"/>
      <c r="E231" s="148"/>
      <c r="F231" s="148"/>
      <c r="G231" s="148"/>
      <c r="H231" s="148"/>
      <c r="I231" s="148"/>
      <c r="J231" s="148"/>
      <c r="K231" s="148"/>
      <c r="L231" s="148"/>
      <c r="M231" s="148"/>
      <c r="N231" s="149"/>
      <c r="O231" s="149"/>
      <c r="P231" s="149"/>
      <c r="Q231" s="149"/>
      <c r="R231" s="149"/>
      <c r="S231" s="148"/>
    </row>
    <row r="232" spans="1:19" ht="12.5">
      <c r="A232" s="148"/>
      <c r="B232" s="148"/>
      <c r="C232" s="148"/>
      <c r="D232" s="148"/>
      <c r="E232" s="148"/>
      <c r="F232" s="148"/>
      <c r="G232" s="148"/>
      <c r="H232" s="148"/>
      <c r="I232" s="148"/>
      <c r="J232" s="148"/>
      <c r="K232" s="148"/>
      <c r="L232" s="148"/>
      <c r="M232" s="148"/>
      <c r="N232" s="149"/>
      <c r="O232" s="149"/>
      <c r="P232" s="149"/>
      <c r="Q232" s="149"/>
      <c r="R232" s="149"/>
      <c r="S232" s="148"/>
    </row>
    <row r="233" spans="1:19" ht="12.5">
      <c r="A233" s="148"/>
      <c r="B233" s="148"/>
      <c r="C233" s="148"/>
      <c r="D233" s="148"/>
      <c r="E233" s="148"/>
      <c r="F233" s="148"/>
      <c r="G233" s="148"/>
      <c r="H233" s="148"/>
      <c r="I233" s="148"/>
      <c r="J233" s="148"/>
      <c r="K233" s="148"/>
      <c r="L233" s="148"/>
      <c r="M233" s="148"/>
      <c r="N233" s="149"/>
      <c r="O233" s="149"/>
      <c r="P233" s="149"/>
      <c r="Q233" s="149"/>
      <c r="R233" s="149"/>
      <c r="S233" s="148"/>
    </row>
    <row r="234" spans="1:19" ht="12.5">
      <c r="A234" s="148"/>
      <c r="B234" s="148"/>
      <c r="C234" s="148"/>
      <c r="D234" s="148"/>
      <c r="E234" s="148"/>
      <c r="F234" s="148"/>
      <c r="G234" s="148"/>
      <c r="H234" s="148"/>
      <c r="I234" s="148"/>
      <c r="J234" s="148"/>
      <c r="K234" s="148"/>
      <c r="L234" s="148"/>
      <c r="M234" s="148"/>
      <c r="N234" s="149"/>
      <c r="O234" s="149"/>
      <c r="P234" s="149"/>
      <c r="Q234" s="149"/>
      <c r="R234" s="149"/>
      <c r="S234" s="148"/>
    </row>
    <row r="235" spans="1:19" ht="12.5">
      <c r="A235" s="148"/>
      <c r="B235" s="148"/>
      <c r="C235" s="148"/>
      <c r="D235" s="148"/>
      <c r="E235" s="148"/>
      <c r="F235" s="148"/>
      <c r="G235" s="148"/>
      <c r="H235" s="148"/>
      <c r="I235" s="148"/>
      <c r="J235" s="148"/>
      <c r="K235" s="148"/>
      <c r="L235" s="148"/>
      <c r="M235" s="148"/>
      <c r="N235" s="149"/>
      <c r="O235" s="149"/>
      <c r="P235" s="149"/>
      <c r="Q235" s="149"/>
      <c r="R235" s="149"/>
      <c r="S235" s="148"/>
    </row>
    <row r="236" spans="1:19" ht="12.5">
      <c r="A236" s="148"/>
      <c r="B236" s="148"/>
      <c r="C236" s="148"/>
      <c r="D236" s="148"/>
      <c r="E236" s="148"/>
      <c r="F236" s="148"/>
      <c r="G236" s="148"/>
      <c r="H236" s="148"/>
      <c r="I236" s="148"/>
      <c r="J236" s="148"/>
      <c r="K236" s="148"/>
      <c r="L236" s="148"/>
      <c r="M236" s="148"/>
      <c r="N236" s="149"/>
      <c r="O236" s="149"/>
      <c r="P236" s="149"/>
      <c r="Q236" s="149"/>
      <c r="R236" s="149"/>
      <c r="S236" s="148"/>
    </row>
    <row r="237" spans="1:19" ht="12.5">
      <c r="A237" s="148"/>
      <c r="B237" s="148"/>
      <c r="C237" s="148"/>
      <c r="D237" s="148"/>
      <c r="E237" s="148"/>
      <c r="F237" s="148"/>
      <c r="G237" s="148"/>
      <c r="H237" s="148"/>
      <c r="I237" s="148"/>
      <c r="J237" s="148"/>
      <c r="K237" s="148"/>
      <c r="L237" s="148"/>
      <c r="M237" s="148"/>
      <c r="N237" s="149"/>
      <c r="O237" s="149"/>
      <c r="P237" s="149"/>
      <c r="Q237" s="149"/>
      <c r="R237" s="149"/>
      <c r="S237" s="148"/>
    </row>
    <row r="238" spans="1:19" ht="12.5">
      <c r="A238" s="148"/>
      <c r="B238" s="148"/>
      <c r="C238" s="148"/>
      <c r="D238" s="148"/>
      <c r="E238" s="148"/>
      <c r="F238" s="148"/>
      <c r="G238" s="148"/>
      <c r="H238" s="148"/>
      <c r="I238" s="148"/>
      <c r="J238" s="148"/>
      <c r="K238" s="148"/>
      <c r="L238" s="148"/>
      <c r="M238" s="148"/>
      <c r="N238" s="149"/>
      <c r="O238" s="149"/>
      <c r="P238" s="149"/>
      <c r="Q238" s="149"/>
      <c r="R238" s="149"/>
      <c r="S238" s="148"/>
    </row>
    <row r="239" spans="1:19" ht="12.5">
      <c r="A239" s="148"/>
      <c r="B239" s="148"/>
      <c r="C239" s="148"/>
      <c r="D239" s="148"/>
      <c r="E239" s="148"/>
      <c r="F239" s="148"/>
      <c r="G239" s="148"/>
      <c r="H239" s="148"/>
      <c r="I239" s="148"/>
      <c r="J239" s="148"/>
      <c r="K239" s="148"/>
      <c r="L239" s="148"/>
      <c r="M239" s="148"/>
      <c r="N239" s="149"/>
      <c r="O239" s="149"/>
      <c r="P239" s="149"/>
      <c r="Q239" s="149"/>
      <c r="R239" s="149"/>
      <c r="S239" s="148"/>
    </row>
    <row r="240" spans="1:19" ht="12.5">
      <c r="A240" s="148"/>
      <c r="B240" s="148"/>
      <c r="C240" s="148"/>
      <c r="D240" s="148"/>
      <c r="E240" s="148"/>
      <c r="F240" s="148"/>
      <c r="G240" s="148"/>
      <c r="H240" s="148"/>
      <c r="I240" s="148"/>
      <c r="J240" s="148"/>
      <c r="K240" s="148"/>
      <c r="L240" s="148"/>
      <c r="M240" s="148"/>
      <c r="N240" s="149"/>
      <c r="O240" s="149"/>
      <c r="P240" s="149"/>
      <c r="Q240" s="149"/>
      <c r="R240" s="149"/>
      <c r="S240" s="148"/>
    </row>
    <row r="241" spans="1:19" ht="12.5">
      <c r="A241" s="148"/>
      <c r="B241" s="148"/>
      <c r="C241" s="148"/>
      <c r="D241" s="148"/>
      <c r="E241" s="148"/>
      <c r="F241" s="148"/>
      <c r="G241" s="148"/>
      <c r="H241" s="148"/>
      <c r="I241" s="148"/>
      <c r="J241" s="148"/>
      <c r="K241" s="148"/>
      <c r="L241" s="148"/>
      <c r="M241" s="148"/>
      <c r="N241" s="149"/>
      <c r="O241" s="149"/>
      <c r="P241" s="149"/>
      <c r="Q241" s="149"/>
      <c r="R241" s="149"/>
      <c r="S241" s="148"/>
    </row>
    <row r="242" spans="1:19" ht="12.5">
      <c r="A242" s="148"/>
      <c r="B242" s="148"/>
      <c r="C242" s="148"/>
      <c r="D242" s="148"/>
      <c r="E242" s="148"/>
      <c r="F242" s="148"/>
      <c r="G242" s="148"/>
      <c r="H242" s="148"/>
      <c r="I242" s="148"/>
      <c r="J242" s="148"/>
      <c r="K242" s="148"/>
      <c r="L242" s="148"/>
      <c r="M242" s="148"/>
      <c r="N242" s="149"/>
      <c r="O242" s="149"/>
      <c r="P242" s="149"/>
      <c r="Q242" s="149"/>
      <c r="R242" s="149"/>
      <c r="S242" s="148"/>
    </row>
    <row r="243" spans="1:19" ht="12.5">
      <c r="A243" s="148"/>
      <c r="B243" s="148"/>
      <c r="C243" s="148"/>
      <c r="D243" s="148"/>
      <c r="E243" s="148"/>
      <c r="F243" s="148"/>
      <c r="G243" s="148"/>
      <c r="H243" s="148"/>
      <c r="I243" s="148"/>
      <c r="J243" s="148"/>
      <c r="K243" s="148"/>
      <c r="L243" s="148"/>
      <c r="M243" s="148"/>
      <c r="N243" s="149"/>
      <c r="O243" s="149"/>
      <c r="P243" s="149"/>
      <c r="Q243" s="149"/>
      <c r="R243" s="149"/>
      <c r="S243" s="148"/>
    </row>
    <row r="244" spans="1:19" ht="12.5">
      <c r="A244" s="148"/>
      <c r="B244" s="148"/>
      <c r="C244" s="148"/>
      <c r="D244" s="148"/>
      <c r="E244" s="148"/>
      <c r="F244" s="148"/>
      <c r="G244" s="148"/>
      <c r="H244" s="148"/>
      <c r="I244" s="148"/>
      <c r="J244" s="148"/>
      <c r="K244" s="148"/>
      <c r="L244" s="148"/>
      <c r="M244" s="148"/>
      <c r="N244" s="149"/>
      <c r="O244" s="149"/>
      <c r="P244" s="149"/>
      <c r="Q244" s="149"/>
      <c r="R244" s="149"/>
      <c r="S244" s="148"/>
    </row>
    <row r="245" spans="1:19" ht="12.5">
      <c r="A245" s="148"/>
      <c r="B245" s="148"/>
      <c r="C245" s="148"/>
      <c r="D245" s="148"/>
      <c r="E245" s="148"/>
      <c r="F245" s="148"/>
      <c r="G245" s="148"/>
      <c r="H245" s="148"/>
      <c r="I245" s="148"/>
      <c r="J245" s="148"/>
      <c r="K245" s="148"/>
      <c r="L245" s="148"/>
      <c r="M245" s="148"/>
      <c r="N245" s="149"/>
      <c r="O245" s="149"/>
      <c r="P245" s="149"/>
      <c r="Q245" s="149"/>
      <c r="R245" s="149"/>
      <c r="S245" s="148"/>
    </row>
    <row r="246" spans="1:19" ht="12.5">
      <c r="A246" s="148"/>
      <c r="B246" s="148"/>
      <c r="C246" s="148"/>
      <c r="D246" s="148"/>
      <c r="E246" s="148"/>
      <c r="F246" s="148"/>
      <c r="G246" s="148"/>
      <c r="H246" s="148"/>
      <c r="I246" s="148"/>
      <c r="J246" s="148"/>
      <c r="K246" s="148"/>
      <c r="L246" s="148"/>
      <c r="M246" s="148"/>
      <c r="N246" s="149"/>
      <c r="O246" s="149"/>
      <c r="P246" s="149"/>
      <c r="Q246" s="149"/>
      <c r="R246" s="149"/>
      <c r="S246" s="148"/>
    </row>
    <row r="247" spans="1:19" ht="12.5">
      <c r="A247" s="148"/>
      <c r="B247" s="148"/>
      <c r="C247" s="148"/>
      <c r="D247" s="148"/>
      <c r="E247" s="148"/>
      <c r="F247" s="148"/>
      <c r="G247" s="148"/>
      <c r="H247" s="148"/>
      <c r="I247" s="148"/>
      <c r="J247" s="148"/>
      <c r="K247" s="148"/>
      <c r="L247" s="148"/>
      <c r="M247" s="148"/>
      <c r="N247" s="149"/>
      <c r="O247" s="149"/>
      <c r="P247" s="149"/>
      <c r="Q247" s="149"/>
      <c r="R247" s="149"/>
      <c r="S247" s="148"/>
    </row>
    <row r="248" spans="1:19" ht="12.5">
      <c r="A248" s="148"/>
      <c r="B248" s="148"/>
      <c r="C248" s="148"/>
      <c r="D248" s="148"/>
      <c r="E248" s="148"/>
      <c r="F248" s="148"/>
      <c r="G248" s="148"/>
      <c r="H248" s="148"/>
      <c r="I248" s="148"/>
      <c r="J248" s="148"/>
      <c r="K248" s="148"/>
      <c r="L248" s="148"/>
      <c r="M248" s="148"/>
      <c r="N248" s="149"/>
      <c r="O248" s="149"/>
      <c r="P248" s="149"/>
      <c r="Q248" s="149"/>
      <c r="R248" s="149"/>
      <c r="S248" s="148"/>
    </row>
    <row r="249" spans="1:19" ht="12.5">
      <c r="A249" s="148"/>
      <c r="B249" s="148"/>
      <c r="C249" s="148"/>
      <c r="D249" s="148"/>
      <c r="E249" s="148"/>
      <c r="F249" s="148"/>
      <c r="G249" s="148"/>
      <c r="H249" s="148"/>
      <c r="I249" s="148"/>
      <c r="J249" s="148"/>
      <c r="K249" s="148"/>
      <c r="L249" s="148"/>
      <c r="M249" s="148"/>
      <c r="N249" s="149"/>
      <c r="O249" s="149"/>
      <c r="P249" s="149"/>
      <c r="Q249" s="149"/>
      <c r="R249" s="149"/>
      <c r="S249" s="148"/>
    </row>
    <row r="250" spans="1:19" ht="12.5">
      <c r="A250" s="148"/>
      <c r="B250" s="148"/>
      <c r="C250" s="148"/>
      <c r="D250" s="148"/>
      <c r="E250" s="148"/>
      <c r="F250" s="148"/>
      <c r="G250" s="148"/>
      <c r="H250" s="148"/>
      <c r="I250" s="148"/>
      <c r="J250" s="148"/>
      <c r="K250" s="148"/>
      <c r="L250" s="148"/>
      <c r="M250" s="148"/>
      <c r="N250" s="149"/>
      <c r="O250" s="149"/>
      <c r="P250" s="149"/>
      <c r="Q250" s="149"/>
      <c r="R250" s="149"/>
      <c r="S250" s="148"/>
    </row>
    <row r="251" spans="1:19" ht="12.5">
      <c r="A251" s="148"/>
      <c r="B251" s="148"/>
      <c r="C251" s="148"/>
      <c r="D251" s="148"/>
      <c r="E251" s="148"/>
      <c r="F251" s="148"/>
      <c r="G251" s="148"/>
      <c r="H251" s="148"/>
      <c r="I251" s="148"/>
      <c r="J251" s="148"/>
      <c r="K251" s="148"/>
      <c r="L251" s="148"/>
      <c r="M251" s="148"/>
      <c r="N251" s="149"/>
      <c r="O251" s="149"/>
      <c r="P251" s="149"/>
      <c r="Q251" s="149"/>
      <c r="R251" s="149"/>
      <c r="S251" s="148"/>
    </row>
    <row r="252" spans="1:19" ht="12.5">
      <c r="A252" s="148"/>
      <c r="B252" s="148"/>
      <c r="C252" s="148"/>
      <c r="D252" s="148"/>
      <c r="E252" s="148"/>
      <c r="F252" s="148"/>
      <c r="G252" s="148"/>
      <c r="H252" s="148"/>
      <c r="I252" s="148"/>
      <c r="J252" s="148"/>
      <c r="K252" s="148"/>
      <c r="L252" s="148"/>
      <c r="M252" s="148"/>
      <c r="N252" s="149"/>
      <c r="O252" s="149"/>
      <c r="P252" s="149"/>
      <c r="Q252" s="149"/>
      <c r="R252" s="149"/>
      <c r="S252" s="148"/>
    </row>
    <row r="253" spans="1:19" ht="12.5">
      <c r="A253" s="148"/>
      <c r="B253" s="148"/>
      <c r="C253" s="148"/>
      <c r="D253" s="148"/>
      <c r="E253" s="148"/>
      <c r="F253" s="148"/>
      <c r="G253" s="148"/>
      <c r="H253" s="148"/>
      <c r="I253" s="148"/>
      <c r="J253" s="148"/>
      <c r="K253" s="148"/>
      <c r="L253" s="148"/>
      <c r="M253" s="148"/>
      <c r="N253" s="149"/>
      <c r="O253" s="149"/>
      <c r="P253" s="149"/>
      <c r="Q253" s="149"/>
      <c r="R253" s="149"/>
      <c r="S253" s="148"/>
    </row>
    <row r="254" spans="1:19" ht="12.5">
      <c r="A254" s="148"/>
      <c r="B254" s="148"/>
      <c r="C254" s="148"/>
      <c r="D254" s="148"/>
      <c r="E254" s="148"/>
      <c r="F254" s="148"/>
      <c r="G254" s="148"/>
      <c r="H254" s="148"/>
      <c r="I254" s="148"/>
      <c r="J254" s="148"/>
      <c r="K254" s="148"/>
      <c r="L254" s="148"/>
      <c r="M254" s="148"/>
      <c r="N254" s="149"/>
      <c r="O254" s="149"/>
      <c r="P254" s="149"/>
      <c r="Q254" s="149"/>
      <c r="R254" s="149"/>
      <c r="S254" s="148"/>
    </row>
    <row r="255" spans="1:19" ht="12.5">
      <c r="A255" s="148"/>
      <c r="B255" s="148"/>
      <c r="C255" s="148"/>
      <c r="D255" s="148"/>
      <c r="E255" s="148"/>
      <c r="F255" s="148"/>
      <c r="G255" s="148"/>
      <c r="H255" s="148"/>
      <c r="I255" s="148"/>
      <c r="J255" s="148"/>
      <c r="K255" s="148"/>
      <c r="L255" s="148"/>
      <c r="M255" s="148"/>
      <c r="N255" s="149"/>
      <c r="O255" s="149"/>
      <c r="P255" s="149"/>
      <c r="Q255" s="149"/>
      <c r="R255" s="149"/>
      <c r="S255" s="148"/>
    </row>
    <row r="256" spans="1:19" ht="12.5">
      <c r="A256" s="148"/>
      <c r="B256" s="148"/>
      <c r="C256" s="148"/>
      <c r="D256" s="148"/>
      <c r="E256" s="148"/>
      <c r="F256" s="148"/>
      <c r="G256" s="148"/>
      <c r="H256" s="148"/>
      <c r="I256" s="148"/>
      <c r="J256" s="148"/>
      <c r="K256" s="148"/>
      <c r="L256" s="148"/>
      <c r="M256" s="148"/>
      <c r="N256" s="149"/>
      <c r="O256" s="149"/>
      <c r="P256" s="149"/>
      <c r="Q256" s="149"/>
      <c r="R256" s="149"/>
      <c r="S256" s="148"/>
    </row>
    <row r="257" spans="1:19" ht="12.5">
      <c r="A257" s="148"/>
      <c r="B257" s="148"/>
      <c r="C257" s="148"/>
      <c r="D257" s="148"/>
      <c r="E257" s="148"/>
      <c r="F257" s="148"/>
      <c r="G257" s="148"/>
      <c r="H257" s="148"/>
      <c r="I257" s="148"/>
      <c r="J257" s="148"/>
      <c r="K257" s="148"/>
      <c r="L257" s="148"/>
      <c r="M257" s="148"/>
      <c r="N257" s="149"/>
      <c r="O257" s="149"/>
      <c r="P257" s="149"/>
      <c r="Q257" s="149"/>
      <c r="R257" s="149"/>
      <c r="S257" s="148"/>
    </row>
    <row r="258" spans="1:19" ht="12.5">
      <c r="A258" s="148"/>
      <c r="B258" s="148"/>
      <c r="C258" s="148"/>
      <c r="D258" s="148"/>
      <c r="E258" s="148"/>
      <c r="F258" s="148"/>
      <c r="G258" s="148"/>
      <c r="H258" s="148"/>
      <c r="I258" s="148"/>
      <c r="J258" s="148"/>
      <c r="K258" s="148"/>
      <c r="L258" s="148"/>
      <c r="M258" s="148"/>
      <c r="N258" s="149"/>
      <c r="O258" s="149"/>
      <c r="P258" s="149"/>
      <c r="Q258" s="149"/>
      <c r="R258" s="149"/>
      <c r="S258" s="148"/>
    </row>
    <row r="259" spans="1:19" ht="12.5">
      <c r="A259" s="148"/>
      <c r="B259" s="148"/>
      <c r="C259" s="148"/>
      <c r="D259" s="148"/>
      <c r="E259" s="148"/>
      <c r="F259" s="148"/>
      <c r="G259" s="148"/>
      <c r="H259" s="148"/>
      <c r="I259" s="148"/>
      <c r="J259" s="148"/>
      <c r="K259" s="148"/>
      <c r="L259" s="148"/>
      <c r="M259" s="148"/>
      <c r="N259" s="149"/>
      <c r="O259" s="149"/>
      <c r="P259" s="149"/>
      <c r="Q259" s="149"/>
      <c r="R259" s="149"/>
      <c r="S259" s="148"/>
    </row>
    <row r="260" spans="1:19" ht="12.5">
      <c r="A260" s="148"/>
      <c r="B260" s="148"/>
      <c r="C260" s="148"/>
      <c r="D260" s="148"/>
      <c r="E260" s="148"/>
      <c r="F260" s="148"/>
      <c r="G260" s="148"/>
      <c r="H260" s="148"/>
      <c r="I260" s="148"/>
      <c r="J260" s="148"/>
      <c r="K260" s="148"/>
      <c r="L260" s="148"/>
      <c r="M260" s="148"/>
      <c r="N260" s="149"/>
      <c r="O260" s="149"/>
      <c r="P260" s="149"/>
      <c r="Q260" s="149"/>
      <c r="R260" s="149"/>
      <c r="S260" s="148"/>
    </row>
    <row r="261" spans="1:19" ht="12.5">
      <c r="A261" s="148"/>
      <c r="B261" s="148"/>
      <c r="C261" s="148"/>
      <c r="D261" s="148"/>
      <c r="E261" s="148"/>
      <c r="F261" s="148"/>
      <c r="G261" s="148"/>
      <c r="H261" s="148"/>
      <c r="I261" s="148"/>
      <c r="J261" s="148"/>
      <c r="K261" s="148"/>
      <c r="L261" s="148"/>
      <c r="M261" s="148"/>
      <c r="N261" s="149"/>
      <c r="O261" s="149"/>
      <c r="P261" s="149"/>
      <c r="Q261" s="149"/>
      <c r="R261" s="149"/>
      <c r="S261" s="148"/>
    </row>
    <row r="262" spans="1:19" ht="12.5">
      <c r="A262" s="148"/>
      <c r="B262" s="148"/>
      <c r="C262" s="148"/>
      <c r="D262" s="148"/>
      <c r="E262" s="148"/>
      <c r="F262" s="148"/>
      <c r="G262" s="148"/>
      <c r="H262" s="148"/>
      <c r="I262" s="148"/>
      <c r="J262" s="148"/>
      <c r="K262" s="148"/>
      <c r="L262" s="148"/>
      <c r="M262" s="148"/>
      <c r="N262" s="149"/>
      <c r="O262" s="149"/>
      <c r="P262" s="149"/>
      <c r="Q262" s="149"/>
      <c r="R262" s="149"/>
      <c r="S262" s="148"/>
    </row>
    <row r="263" spans="1:19" ht="12.5">
      <c r="A263" s="148"/>
      <c r="B263" s="148"/>
      <c r="C263" s="148"/>
      <c r="D263" s="148"/>
      <c r="E263" s="148"/>
      <c r="F263" s="148"/>
      <c r="G263" s="148"/>
      <c r="H263" s="148"/>
      <c r="I263" s="148"/>
      <c r="J263" s="148"/>
      <c r="K263" s="148"/>
      <c r="L263" s="148"/>
      <c r="M263" s="148"/>
      <c r="N263" s="149"/>
      <c r="O263" s="149"/>
      <c r="P263" s="149"/>
      <c r="Q263" s="149"/>
      <c r="R263" s="149"/>
      <c r="S263" s="148"/>
    </row>
    <row r="264" spans="1:19" ht="12.5">
      <c r="A264" s="148"/>
      <c r="B264" s="148"/>
      <c r="C264" s="148"/>
      <c r="D264" s="148"/>
      <c r="E264" s="148"/>
      <c r="F264" s="148"/>
      <c r="G264" s="148"/>
      <c r="H264" s="148"/>
      <c r="I264" s="148"/>
      <c r="J264" s="148"/>
      <c r="K264" s="148"/>
      <c r="L264" s="148"/>
      <c r="M264" s="148"/>
      <c r="N264" s="149"/>
      <c r="O264" s="149"/>
      <c r="P264" s="149"/>
      <c r="Q264" s="149"/>
      <c r="R264" s="149"/>
      <c r="S264" s="148"/>
    </row>
    <row r="265" spans="1:19" ht="12.5">
      <c r="A265" s="148"/>
      <c r="B265" s="148"/>
      <c r="C265" s="148"/>
      <c r="D265" s="148"/>
      <c r="E265" s="148"/>
      <c r="F265" s="148"/>
      <c r="G265" s="148"/>
      <c r="H265" s="148"/>
      <c r="I265" s="148"/>
      <c r="J265" s="148"/>
      <c r="K265" s="148"/>
      <c r="L265" s="148"/>
      <c r="M265" s="148"/>
      <c r="N265" s="149"/>
      <c r="O265" s="149"/>
      <c r="P265" s="149"/>
      <c r="Q265" s="149"/>
      <c r="R265" s="149"/>
      <c r="S265" s="148"/>
    </row>
    <row r="266" spans="1:19" ht="12.5">
      <c r="A266" s="148"/>
      <c r="B266" s="148"/>
      <c r="C266" s="148"/>
      <c r="D266" s="148"/>
      <c r="E266" s="148"/>
      <c r="F266" s="148"/>
      <c r="G266" s="148"/>
      <c r="H266" s="148"/>
      <c r="I266" s="148"/>
      <c r="J266" s="148"/>
      <c r="K266" s="148"/>
      <c r="L266" s="148"/>
      <c r="M266" s="148"/>
      <c r="N266" s="149"/>
      <c r="O266" s="149"/>
      <c r="P266" s="149"/>
      <c r="Q266" s="149"/>
      <c r="R266" s="149"/>
      <c r="S266" s="148"/>
    </row>
    <row r="267" spans="1:19" ht="12.5">
      <c r="A267" s="148"/>
      <c r="B267" s="148"/>
      <c r="C267" s="148"/>
      <c r="D267" s="148"/>
      <c r="E267" s="148"/>
      <c r="F267" s="148"/>
      <c r="G267" s="148"/>
      <c r="H267" s="148"/>
      <c r="I267" s="148"/>
      <c r="J267" s="148"/>
      <c r="K267" s="148"/>
      <c r="L267" s="148"/>
      <c r="M267" s="148"/>
      <c r="N267" s="149"/>
      <c r="O267" s="149"/>
      <c r="P267" s="149"/>
      <c r="Q267" s="149"/>
      <c r="R267" s="149"/>
      <c r="S267" s="148"/>
    </row>
    <row r="268" spans="1:19" ht="12.5">
      <c r="A268" s="148"/>
      <c r="B268" s="148"/>
      <c r="C268" s="148"/>
      <c r="D268" s="148"/>
      <c r="E268" s="148"/>
      <c r="F268" s="148"/>
      <c r="G268" s="148"/>
      <c r="H268" s="148"/>
      <c r="I268" s="148"/>
      <c r="J268" s="148"/>
      <c r="K268" s="148"/>
      <c r="L268" s="148"/>
      <c r="M268" s="148"/>
      <c r="N268" s="149"/>
      <c r="O268" s="149"/>
      <c r="P268" s="149"/>
      <c r="Q268" s="149"/>
      <c r="R268" s="149"/>
      <c r="S268" s="148"/>
    </row>
    <row r="269" spans="1:19" ht="12.5">
      <c r="A269" s="148"/>
      <c r="B269" s="148"/>
      <c r="C269" s="148"/>
      <c r="D269" s="148"/>
      <c r="E269" s="148"/>
      <c r="F269" s="148"/>
      <c r="G269" s="148"/>
      <c r="H269" s="148"/>
      <c r="I269" s="148"/>
      <c r="J269" s="148"/>
      <c r="K269" s="148"/>
      <c r="L269" s="148"/>
      <c r="M269" s="148"/>
      <c r="N269" s="149"/>
      <c r="O269" s="149"/>
      <c r="P269" s="149"/>
      <c r="Q269" s="149"/>
      <c r="R269" s="149"/>
      <c r="S269" s="148"/>
    </row>
    <row r="270" spans="1:19" ht="12.5">
      <c r="A270" s="148"/>
      <c r="B270" s="148"/>
      <c r="C270" s="148"/>
      <c r="D270" s="148"/>
      <c r="E270" s="148"/>
      <c r="F270" s="148"/>
      <c r="G270" s="148"/>
      <c r="H270" s="148"/>
      <c r="I270" s="148"/>
      <c r="J270" s="148"/>
      <c r="K270" s="148"/>
      <c r="L270" s="148"/>
      <c r="M270" s="148"/>
      <c r="N270" s="149"/>
      <c r="O270" s="149"/>
      <c r="P270" s="149"/>
      <c r="Q270" s="149"/>
      <c r="R270" s="149"/>
      <c r="S270" s="148"/>
    </row>
    <row r="271" spans="1:19" ht="12.5">
      <c r="A271" s="148"/>
      <c r="B271" s="148"/>
      <c r="C271" s="148"/>
      <c r="D271" s="148"/>
      <c r="E271" s="148"/>
      <c r="F271" s="148"/>
      <c r="G271" s="148"/>
      <c r="H271" s="148"/>
      <c r="I271" s="148"/>
      <c r="J271" s="148"/>
      <c r="K271" s="148"/>
      <c r="L271" s="148"/>
      <c r="M271" s="148"/>
      <c r="N271" s="149"/>
      <c r="O271" s="149"/>
      <c r="P271" s="149"/>
      <c r="Q271" s="149"/>
      <c r="R271" s="149"/>
      <c r="S271" s="148"/>
    </row>
    <row r="272" spans="1:19" ht="12.5">
      <c r="A272" s="148"/>
      <c r="B272" s="148"/>
      <c r="C272" s="148"/>
      <c r="D272" s="148"/>
      <c r="E272" s="148"/>
      <c r="F272" s="148"/>
      <c r="G272" s="148"/>
      <c r="H272" s="148"/>
      <c r="I272" s="148"/>
      <c r="J272" s="148"/>
      <c r="K272" s="148"/>
      <c r="L272" s="148"/>
      <c r="M272" s="148"/>
      <c r="N272" s="149"/>
      <c r="O272" s="149"/>
      <c r="P272" s="149"/>
      <c r="Q272" s="149"/>
      <c r="R272" s="149"/>
      <c r="S272" s="148"/>
    </row>
    <row r="273" spans="1:19" ht="12.5">
      <c r="A273" s="148"/>
      <c r="B273" s="148"/>
      <c r="C273" s="148"/>
      <c r="D273" s="148"/>
      <c r="E273" s="148"/>
      <c r="F273" s="148"/>
      <c r="G273" s="148"/>
      <c r="H273" s="148"/>
      <c r="I273" s="148"/>
      <c r="J273" s="148"/>
      <c r="K273" s="148"/>
      <c r="L273" s="148"/>
      <c r="M273" s="148"/>
      <c r="N273" s="149"/>
      <c r="O273" s="149"/>
      <c r="P273" s="149"/>
      <c r="Q273" s="149"/>
      <c r="R273" s="149"/>
      <c r="S273" s="148"/>
    </row>
    <row r="274" spans="1:19" ht="12.5">
      <c r="A274" s="148"/>
      <c r="B274" s="148"/>
      <c r="C274" s="148"/>
      <c r="D274" s="148"/>
      <c r="E274" s="148"/>
      <c r="F274" s="148"/>
      <c r="G274" s="148"/>
      <c r="H274" s="148"/>
      <c r="I274" s="148"/>
      <c r="J274" s="148"/>
      <c r="K274" s="148"/>
      <c r="L274" s="148"/>
      <c r="M274" s="148"/>
      <c r="N274" s="149"/>
      <c r="O274" s="149"/>
      <c r="P274" s="149"/>
      <c r="Q274" s="149"/>
      <c r="R274" s="149"/>
      <c r="S274" s="148"/>
    </row>
    <row r="275" spans="1:19" ht="12.5">
      <c r="A275" s="148"/>
      <c r="B275" s="148"/>
      <c r="C275" s="148"/>
      <c r="D275" s="148"/>
      <c r="E275" s="148"/>
      <c r="F275" s="148"/>
      <c r="G275" s="148"/>
      <c r="H275" s="148"/>
      <c r="I275" s="148"/>
      <c r="J275" s="148"/>
      <c r="K275" s="148"/>
      <c r="L275" s="148"/>
      <c r="M275" s="148"/>
      <c r="N275" s="149"/>
      <c r="O275" s="149"/>
      <c r="P275" s="149"/>
      <c r="Q275" s="149"/>
      <c r="R275" s="149"/>
      <c r="S275" s="148"/>
    </row>
    <row r="276" spans="1:19" ht="12.5">
      <c r="A276" s="148"/>
      <c r="B276" s="148"/>
      <c r="C276" s="148"/>
      <c r="D276" s="148"/>
      <c r="E276" s="148"/>
      <c r="F276" s="148"/>
      <c r="G276" s="148"/>
      <c r="H276" s="148"/>
      <c r="I276" s="148"/>
      <c r="J276" s="148"/>
      <c r="K276" s="148"/>
      <c r="L276" s="148"/>
      <c r="M276" s="148"/>
      <c r="N276" s="149"/>
      <c r="O276" s="149"/>
      <c r="P276" s="149"/>
      <c r="Q276" s="149"/>
      <c r="R276" s="149"/>
      <c r="S276" s="148"/>
    </row>
    <row r="277" spans="1:19" ht="12.5">
      <c r="A277" s="148"/>
      <c r="B277" s="148"/>
      <c r="C277" s="148"/>
      <c r="D277" s="148"/>
      <c r="E277" s="148"/>
      <c r="F277" s="148"/>
      <c r="G277" s="148"/>
      <c r="H277" s="148"/>
      <c r="I277" s="148"/>
      <c r="J277" s="148"/>
      <c r="K277" s="148"/>
      <c r="L277" s="148"/>
      <c r="M277" s="148"/>
      <c r="N277" s="149"/>
      <c r="O277" s="149"/>
      <c r="P277" s="149"/>
      <c r="Q277" s="149"/>
      <c r="R277" s="149"/>
      <c r="S277" s="148"/>
    </row>
    <row r="278" spans="1:19" ht="12.5">
      <c r="A278" s="148"/>
      <c r="B278" s="148"/>
      <c r="C278" s="148"/>
      <c r="D278" s="148"/>
      <c r="E278" s="148"/>
      <c r="F278" s="148"/>
      <c r="G278" s="148"/>
      <c r="H278" s="148"/>
      <c r="I278" s="148"/>
      <c r="J278" s="148"/>
      <c r="K278" s="148"/>
      <c r="L278" s="148"/>
      <c r="M278" s="148"/>
      <c r="N278" s="149"/>
      <c r="O278" s="149"/>
      <c r="P278" s="149"/>
      <c r="Q278" s="149"/>
      <c r="R278" s="149"/>
      <c r="S278" s="148"/>
    </row>
    <row r="279" spans="1:19" ht="12.5">
      <c r="A279" s="148"/>
      <c r="B279" s="148"/>
      <c r="C279" s="148"/>
      <c r="D279" s="148"/>
      <c r="E279" s="148"/>
      <c r="F279" s="148"/>
      <c r="G279" s="148"/>
      <c r="H279" s="148"/>
      <c r="I279" s="148"/>
      <c r="J279" s="148"/>
      <c r="K279" s="148"/>
      <c r="L279" s="148"/>
      <c r="M279" s="148"/>
      <c r="N279" s="149"/>
      <c r="O279" s="149"/>
      <c r="P279" s="149"/>
      <c r="Q279" s="149"/>
      <c r="R279" s="149"/>
      <c r="S279" s="148"/>
    </row>
    <row r="280" spans="1:19" ht="12.5">
      <c r="A280" s="148"/>
      <c r="B280" s="148"/>
      <c r="C280" s="148"/>
      <c r="D280" s="148"/>
      <c r="E280" s="148"/>
      <c r="F280" s="148"/>
      <c r="G280" s="148"/>
      <c r="H280" s="148"/>
      <c r="I280" s="148"/>
      <c r="J280" s="148"/>
      <c r="K280" s="148"/>
      <c r="L280" s="148"/>
      <c r="M280" s="148"/>
      <c r="N280" s="149"/>
      <c r="O280" s="149"/>
      <c r="P280" s="149"/>
      <c r="Q280" s="149"/>
      <c r="R280" s="149"/>
      <c r="S280" s="148"/>
    </row>
    <row r="281" spans="1:19" ht="12.5">
      <c r="A281" s="148"/>
      <c r="B281" s="148"/>
      <c r="C281" s="148"/>
      <c r="D281" s="148"/>
      <c r="E281" s="148"/>
      <c r="F281" s="148"/>
      <c r="G281" s="148"/>
      <c r="H281" s="148"/>
      <c r="I281" s="148"/>
      <c r="J281" s="148"/>
      <c r="K281" s="148"/>
      <c r="L281" s="148"/>
      <c r="M281" s="148"/>
      <c r="N281" s="149"/>
      <c r="O281" s="149"/>
      <c r="P281" s="149"/>
      <c r="Q281" s="149"/>
      <c r="R281" s="149"/>
      <c r="S281" s="148"/>
    </row>
    <row r="282" spans="1:19" ht="12.5">
      <c r="A282" s="148"/>
      <c r="B282" s="148"/>
      <c r="C282" s="148"/>
      <c r="D282" s="148"/>
      <c r="E282" s="148"/>
      <c r="F282" s="148"/>
      <c r="G282" s="148"/>
      <c r="H282" s="148"/>
      <c r="I282" s="148"/>
      <c r="J282" s="148"/>
      <c r="K282" s="148"/>
      <c r="L282" s="148"/>
      <c r="M282" s="148"/>
      <c r="N282" s="149"/>
      <c r="O282" s="149"/>
      <c r="P282" s="149"/>
      <c r="Q282" s="149"/>
      <c r="R282" s="149"/>
      <c r="S282" s="148"/>
    </row>
    <row r="283" spans="1:19" ht="12.5">
      <c r="A283" s="148"/>
      <c r="B283" s="148"/>
      <c r="C283" s="148"/>
      <c r="D283" s="148"/>
      <c r="E283" s="148"/>
      <c r="F283" s="148"/>
      <c r="G283" s="148"/>
      <c r="H283" s="148"/>
      <c r="I283" s="148"/>
      <c r="J283" s="148"/>
      <c r="K283" s="148"/>
      <c r="L283" s="148"/>
      <c r="M283" s="148"/>
      <c r="N283" s="149"/>
      <c r="O283" s="149"/>
      <c r="P283" s="149"/>
      <c r="Q283" s="149"/>
      <c r="R283" s="149"/>
      <c r="S283" s="148"/>
    </row>
    <row r="284" spans="1:19" ht="12.5">
      <c r="A284" s="148"/>
      <c r="B284" s="148"/>
      <c r="C284" s="148"/>
      <c r="D284" s="148"/>
      <c r="E284" s="148"/>
      <c r="F284" s="148"/>
      <c r="G284" s="148"/>
      <c r="H284" s="148"/>
      <c r="I284" s="148"/>
      <c r="J284" s="148"/>
      <c r="K284" s="148"/>
      <c r="L284" s="148"/>
      <c r="M284" s="148"/>
      <c r="N284" s="149"/>
      <c r="O284" s="149"/>
      <c r="P284" s="149"/>
      <c r="Q284" s="149"/>
      <c r="R284" s="149"/>
      <c r="S284" s="148"/>
    </row>
    <row r="285" spans="1:19" ht="12.5">
      <c r="A285" s="148"/>
      <c r="B285" s="148"/>
      <c r="C285" s="148"/>
      <c r="D285" s="148"/>
      <c r="E285" s="148"/>
      <c r="F285" s="148"/>
      <c r="G285" s="148"/>
      <c r="H285" s="148"/>
      <c r="I285" s="148"/>
      <c r="J285" s="148"/>
      <c r="K285" s="148"/>
      <c r="L285" s="148"/>
      <c r="M285" s="148"/>
      <c r="N285" s="149"/>
      <c r="O285" s="149"/>
      <c r="P285" s="149"/>
      <c r="Q285" s="149"/>
      <c r="R285" s="149"/>
      <c r="S285" s="148"/>
    </row>
    <row r="286" spans="1:19" ht="12.5">
      <c r="A286" s="148"/>
      <c r="B286" s="148"/>
      <c r="C286" s="148"/>
      <c r="D286" s="148"/>
      <c r="E286" s="148"/>
      <c r="F286" s="148"/>
      <c r="G286" s="148"/>
      <c r="H286" s="148"/>
      <c r="I286" s="148"/>
      <c r="J286" s="148"/>
      <c r="K286" s="148"/>
      <c r="L286" s="148"/>
      <c r="M286" s="148"/>
      <c r="N286" s="149"/>
      <c r="O286" s="149"/>
      <c r="P286" s="149"/>
      <c r="Q286" s="149"/>
      <c r="R286" s="149"/>
      <c r="S286" s="148"/>
    </row>
    <row r="287" spans="1:19" ht="12.5">
      <c r="A287" s="148"/>
      <c r="B287" s="148"/>
      <c r="C287" s="148"/>
      <c r="D287" s="148"/>
      <c r="E287" s="148"/>
      <c r="F287" s="148"/>
      <c r="G287" s="148"/>
      <c r="H287" s="148"/>
      <c r="I287" s="148"/>
      <c r="J287" s="148"/>
      <c r="K287" s="148"/>
      <c r="L287" s="148"/>
      <c r="M287" s="148"/>
      <c r="N287" s="149"/>
      <c r="O287" s="149"/>
      <c r="P287" s="149"/>
      <c r="Q287" s="149"/>
      <c r="R287" s="149"/>
      <c r="S287" s="148"/>
    </row>
    <row r="288" spans="1:19" ht="12.5">
      <c r="A288" s="148"/>
      <c r="B288" s="148"/>
      <c r="C288" s="148"/>
      <c r="D288" s="148"/>
      <c r="E288" s="148"/>
      <c r="F288" s="148"/>
      <c r="G288" s="148"/>
      <c r="H288" s="148"/>
      <c r="I288" s="148"/>
      <c r="J288" s="148"/>
      <c r="K288" s="148"/>
      <c r="L288" s="148"/>
      <c r="M288" s="148"/>
      <c r="N288" s="149"/>
      <c r="O288" s="149"/>
      <c r="P288" s="149"/>
      <c r="Q288" s="149"/>
      <c r="R288" s="149"/>
      <c r="S288" s="148"/>
    </row>
    <row r="289" spans="1:19" ht="12.5">
      <c r="A289" s="148"/>
      <c r="B289" s="148"/>
      <c r="C289" s="148"/>
      <c r="D289" s="148"/>
      <c r="E289" s="148"/>
      <c r="F289" s="148"/>
      <c r="G289" s="148"/>
      <c r="H289" s="148"/>
      <c r="I289" s="148"/>
      <c r="J289" s="148"/>
      <c r="K289" s="148"/>
      <c r="L289" s="148"/>
      <c r="M289" s="148"/>
      <c r="N289" s="149"/>
      <c r="O289" s="149"/>
      <c r="P289" s="149"/>
      <c r="Q289" s="149"/>
      <c r="R289" s="149"/>
      <c r="S289" s="148"/>
    </row>
    <row r="290" spans="1:19" ht="12.5">
      <c r="A290" s="148"/>
      <c r="B290" s="148"/>
      <c r="C290" s="148"/>
      <c r="D290" s="148"/>
      <c r="E290" s="148"/>
      <c r="F290" s="148"/>
      <c r="G290" s="148"/>
      <c r="H290" s="148"/>
      <c r="I290" s="148"/>
      <c r="J290" s="148"/>
      <c r="K290" s="148"/>
      <c r="L290" s="148"/>
      <c r="M290" s="148"/>
      <c r="N290" s="149"/>
      <c r="O290" s="149"/>
      <c r="P290" s="149"/>
      <c r="Q290" s="149"/>
      <c r="R290" s="149"/>
      <c r="S290" s="148"/>
    </row>
    <row r="291" spans="1:19" ht="12.5">
      <c r="A291" s="148"/>
      <c r="B291" s="148"/>
      <c r="C291" s="148"/>
      <c r="D291" s="148"/>
      <c r="E291" s="148"/>
      <c r="F291" s="148"/>
      <c r="G291" s="148"/>
      <c r="H291" s="148"/>
      <c r="I291" s="148"/>
      <c r="J291" s="148"/>
      <c r="K291" s="148"/>
      <c r="L291" s="148"/>
      <c r="M291" s="148"/>
      <c r="N291" s="149"/>
      <c r="O291" s="149"/>
      <c r="P291" s="149"/>
      <c r="Q291" s="149"/>
      <c r="R291" s="149"/>
      <c r="S291" s="148"/>
    </row>
    <row r="292" spans="1:19" ht="12.5">
      <c r="A292" s="148"/>
      <c r="B292" s="148"/>
      <c r="C292" s="148"/>
      <c r="D292" s="148"/>
      <c r="E292" s="148"/>
      <c r="F292" s="148"/>
      <c r="G292" s="148"/>
      <c r="H292" s="148"/>
      <c r="I292" s="148"/>
      <c r="J292" s="148"/>
      <c r="K292" s="148"/>
      <c r="L292" s="148"/>
      <c r="M292" s="148"/>
      <c r="N292" s="149"/>
      <c r="O292" s="149"/>
      <c r="P292" s="149"/>
      <c r="Q292" s="149"/>
      <c r="R292" s="149"/>
      <c r="S292" s="148"/>
    </row>
    <row r="293" spans="1:19" ht="12.5">
      <c r="A293" s="148"/>
      <c r="B293" s="148"/>
      <c r="C293" s="148"/>
      <c r="D293" s="148"/>
      <c r="E293" s="148"/>
      <c r="F293" s="148"/>
      <c r="G293" s="148"/>
      <c r="H293" s="148"/>
      <c r="I293" s="148"/>
      <c r="J293" s="148"/>
      <c r="K293" s="148"/>
      <c r="L293" s="148"/>
      <c r="M293" s="148"/>
      <c r="N293" s="149"/>
      <c r="O293" s="149"/>
      <c r="P293" s="149"/>
      <c r="Q293" s="149"/>
      <c r="R293" s="149"/>
      <c r="S293" s="148"/>
    </row>
    <row r="294" spans="1:19" ht="12.5">
      <c r="A294" s="148"/>
      <c r="B294" s="148"/>
      <c r="C294" s="148"/>
      <c r="D294" s="148"/>
      <c r="E294" s="148"/>
      <c r="F294" s="148"/>
      <c r="G294" s="148"/>
      <c r="H294" s="148"/>
      <c r="I294" s="148"/>
      <c r="J294" s="148"/>
      <c r="K294" s="148"/>
      <c r="L294" s="148"/>
      <c r="M294" s="148"/>
      <c r="N294" s="149"/>
      <c r="O294" s="149"/>
      <c r="P294" s="149"/>
      <c r="Q294" s="149"/>
      <c r="R294" s="149"/>
      <c r="S294" s="148"/>
    </row>
    <row r="295" spans="1:19" ht="12.5">
      <c r="A295" s="148"/>
      <c r="B295" s="148"/>
      <c r="C295" s="148"/>
      <c r="D295" s="148"/>
      <c r="E295" s="148"/>
      <c r="F295" s="148"/>
      <c r="G295" s="148"/>
      <c r="H295" s="148"/>
      <c r="I295" s="148"/>
      <c r="J295" s="148"/>
      <c r="K295" s="148"/>
      <c r="L295" s="148"/>
      <c r="M295" s="148"/>
      <c r="N295" s="149"/>
      <c r="O295" s="149"/>
      <c r="P295" s="149"/>
      <c r="Q295" s="149"/>
      <c r="R295" s="149"/>
      <c r="S295" s="148"/>
    </row>
    <row r="296" spans="1:19" ht="12.5">
      <c r="A296" s="148"/>
      <c r="B296" s="148"/>
      <c r="C296" s="148"/>
      <c r="D296" s="148"/>
      <c r="E296" s="148"/>
      <c r="F296" s="148"/>
      <c r="G296" s="148"/>
      <c r="H296" s="148"/>
      <c r="I296" s="148"/>
      <c r="J296" s="148"/>
      <c r="K296" s="148"/>
      <c r="L296" s="148"/>
      <c r="M296" s="148"/>
      <c r="N296" s="149"/>
      <c r="O296" s="149"/>
      <c r="P296" s="149"/>
      <c r="Q296" s="149"/>
      <c r="R296" s="149"/>
      <c r="S296" s="148"/>
    </row>
    <row r="297" spans="1:19" ht="12.5">
      <c r="A297" s="148"/>
      <c r="B297" s="148"/>
      <c r="C297" s="148"/>
      <c r="D297" s="148"/>
      <c r="E297" s="148"/>
      <c r="F297" s="148"/>
      <c r="G297" s="148"/>
      <c r="H297" s="148"/>
      <c r="I297" s="148"/>
      <c r="J297" s="148"/>
      <c r="K297" s="148"/>
      <c r="L297" s="148"/>
      <c r="M297" s="148"/>
      <c r="N297" s="149"/>
      <c r="O297" s="149"/>
      <c r="P297" s="149"/>
      <c r="Q297" s="149"/>
      <c r="R297" s="149"/>
      <c r="S297" s="148"/>
    </row>
    <row r="298" spans="1:19" ht="12.5">
      <c r="A298" s="148"/>
      <c r="B298" s="148"/>
      <c r="C298" s="148"/>
      <c r="D298" s="148"/>
      <c r="E298" s="148"/>
      <c r="F298" s="148"/>
      <c r="G298" s="148"/>
      <c r="H298" s="148"/>
      <c r="I298" s="148"/>
      <c r="J298" s="148"/>
      <c r="K298" s="148"/>
      <c r="L298" s="148"/>
      <c r="M298" s="148"/>
      <c r="N298" s="149"/>
      <c r="O298" s="149"/>
      <c r="P298" s="149"/>
      <c r="Q298" s="149"/>
      <c r="R298" s="149"/>
      <c r="S298" s="148"/>
    </row>
    <row r="299" spans="1:19" ht="12.5">
      <c r="A299" s="148"/>
      <c r="B299" s="148"/>
      <c r="C299" s="148"/>
      <c r="D299" s="148"/>
      <c r="E299" s="148"/>
      <c r="F299" s="148"/>
      <c r="G299" s="148"/>
      <c r="H299" s="148"/>
      <c r="I299" s="148"/>
      <c r="J299" s="148"/>
      <c r="K299" s="148"/>
      <c r="L299" s="148"/>
      <c r="M299" s="148"/>
      <c r="N299" s="149"/>
      <c r="O299" s="149"/>
      <c r="P299" s="149"/>
      <c r="Q299" s="149"/>
      <c r="R299" s="149"/>
      <c r="S299" s="148"/>
    </row>
    <row r="300" spans="1:19" ht="12.5">
      <c r="A300" s="148"/>
      <c r="B300" s="148"/>
      <c r="C300" s="148"/>
      <c r="D300" s="148"/>
      <c r="E300" s="148"/>
      <c r="F300" s="148"/>
      <c r="G300" s="148"/>
      <c r="H300" s="148"/>
      <c r="I300" s="148"/>
      <c r="J300" s="148"/>
      <c r="K300" s="148"/>
      <c r="L300" s="148"/>
      <c r="M300" s="148"/>
      <c r="N300" s="149"/>
      <c r="O300" s="149"/>
      <c r="P300" s="149"/>
      <c r="Q300" s="149"/>
      <c r="R300" s="149"/>
      <c r="S300" s="148"/>
    </row>
    <row r="301" spans="1:19" ht="12.5">
      <c r="N301" s="149"/>
      <c r="O301" s="149"/>
      <c r="P301" s="149"/>
      <c r="Q301" s="149"/>
      <c r="R301" s="149"/>
    </row>
    <row r="302" spans="1:19" ht="12.5">
      <c r="N302" s="149"/>
      <c r="O302" s="149"/>
      <c r="P302" s="149"/>
      <c r="Q302" s="149"/>
      <c r="R302" s="149"/>
    </row>
    <row r="303" spans="1:19" ht="12.5">
      <c r="N303" s="149"/>
      <c r="O303" s="149"/>
      <c r="P303" s="149"/>
      <c r="Q303" s="149"/>
      <c r="R303" s="149"/>
    </row>
    <row r="304" spans="1:19" ht="12.5">
      <c r="N304" s="149"/>
      <c r="O304" s="149"/>
      <c r="P304" s="149"/>
      <c r="Q304" s="149"/>
      <c r="R304" s="149"/>
    </row>
    <row r="305" spans="14:18" ht="12.5">
      <c r="N305" s="149"/>
      <c r="O305" s="149"/>
      <c r="P305" s="149"/>
      <c r="Q305" s="149"/>
      <c r="R305" s="149"/>
    </row>
    <row r="306" spans="14:18" ht="12.5">
      <c r="N306" s="149"/>
      <c r="O306" s="149"/>
      <c r="P306" s="149"/>
      <c r="Q306" s="149"/>
      <c r="R306" s="149"/>
    </row>
    <row r="307" spans="14:18" ht="12.5">
      <c r="N307" s="149"/>
      <c r="O307" s="149"/>
      <c r="P307" s="149"/>
      <c r="Q307" s="149"/>
      <c r="R307" s="149"/>
    </row>
    <row r="308" spans="14:18" ht="12.5">
      <c r="N308" s="149"/>
      <c r="O308" s="149"/>
      <c r="P308" s="149"/>
      <c r="Q308" s="149"/>
      <c r="R308" s="149"/>
    </row>
    <row r="309" spans="14:18" ht="12.5">
      <c r="N309" s="149"/>
      <c r="O309" s="149"/>
      <c r="P309" s="149"/>
      <c r="Q309" s="149"/>
      <c r="R309" s="149"/>
    </row>
    <row r="310" spans="14:18" ht="12.5">
      <c r="N310" s="149"/>
      <c r="O310" s="149"/>
      <c r="P310" s="149"/>
      <c r="Q310" s="149"/>
      <c r="R310" s="149"/>
    </row>
    <row r="311" spans="14:18" ht="12.5">
      <c r="N311" s="149"/>
      <c r="O311" s="149"/>
      <c r="P311" s="149"/>
      <c r="Q311" s="149"/>
      <c r="R311" s="149"/>
    </row>
    <row r="312" spans="14:18" ht="12.5">
      <c r="N312" s="149"/>
      <c r="O312" s="149"/>
      <c r="P312" s="149"/>
      <c r="Q312" s="149"/>
      <c r="R312" s="149"/>
    </row>
    <row r="313" spans="14:18" ht="12.5">
      <c r="N313" s="149"/>
      <c r="O313" s="149"/>
      <c r="P313" s="149"/>
      <c r="Q313" s="149"/>
      <c r="R313" s="149"/>
    </row>
    <row r="314" spans="14:18" ht="12.5">
      <c r="N314" s="149"/>
      <c r="O314" s="149"/>
      <c r="P314" s="149"/>
      <c r="Q314" s="149"/>
      <c r="R314" s="149"/>
    </row>
    <row r="315" spans="14:18" ht="12.5">
      <c r="N315" s="149"/>
      <c r="O315" s="149"/>
      <c r="P315" s="149"/>
      <c r="Q315" s="149"/>
      <c r="R315" s="149"/>
    </row>
    <row r="316" spans="14:18" ht="12.5">
      <c r="N316" s="149"/>
      <c r="O316" s="149"/>
      <c r="P316" s="149"/>
      <c r="Q316" s="149"/>
      <c r="R316" s="149"/>
    </row>
    <row r="317" spans="14:18" ht="12.5">
      <c r="N317" s="149"/>
      <c r="O317" s="149"/>
      <c r="P317" s="149"/>
      <c r="Q317" s="149"/>
      <c r="R317" s="149"/>
    </row>
    <row r="318" spans="14:18" ht="12.5">
      <c r="N318" s="149"/>
      <c r="O318" s="149"/>
      <c r="P318" s="149"/>
      <c r="Q318" s="149"/>
      <c r="R318" s="149"/>
    </row>
    <row r="319" spans="14:18" ht="12.5">
      <c r="N319" s="149"/>
      <c r="O319" s="149"/>
      <c r="P319" s="149"/>
      <c r="Q319" s="149"/>
      <c r="R319" s="149"/>
    </row>
    <row r="320" spans="14:18" ht="12.5">
      <c r="N320" s="149"/>
      <c r="O320" s="149"/>
      <c r="P320" s="149"/>
      <c r="Q320" s="149"/>
      <c r="R320" s="149"/>
    </row>
    <row r="321" spans="14:18" ht="12.5">
      <c r="N321" s="149"/>
      <c r="O321" s="149"/>
      <c r="P321" s="149"/>
      <c r="Q321" s="149"/>
      <c r="R321" s="149"/>
    </row>
    <row r="322" spans="14:18" ht="12.5">
      <c r="N322" s="149"/>
      <c r="O322" s="149"/>
      <c r="P322" s="149"/>
      <c r="Q322" s="149"/>
      <c r="R322" s="149"/>
    </row>
    <row r="323" spans="14:18" ht="12.5">
      <c r="N323" s="149"/>
      <c r="O323" s="149"/>
      <c r="P323" s="149"/>
      <c r="Q323" s="149"/>
      <c r="R323" s="149"/>
    </row>
    <row r="324" spans="14:18" ht="12.5">
      <c r="N324" s="149"/>
      <c r="O324" s="149"/>
      <c r="P324" s="149"/>
      <c r="Q324" s="149"/>
      <c r="R324" s="149"/>
    </row>
    <row r="325" spans="14:18" ht="12.5">
      <c r="N325" s="149"/>
      <c r="O325" s="149"/>
      <c r="P325" s="149"/>
      <c r="Q325" s="149"/>
      <c r="R325" s="149"/>
    </row>
    <row r="326" spans="14:18" ht="12.5">
      <c r="N326" s="149"/>
      <c r="O326" s="149"/>
      <c r="P326" s="149"/>
      <c r="Q326" s="149"/>
      <c r="R326" s="149"/>
    </row>
    <row r="327" spans="14:18" ht="12.5">
      <c r="N327" s="149"/>
      <c r="O327" s="149"/>
      <c r="P327" s="149"/>
      <c r="Q327" s="149"/>
      <c r="R327" s="149"/>
    </row>
    <row r="328" spans="14:18" ht="12.5">
      <c r="N328" s="149"/>
      <c r="O328" s="149"/>
      <c r="P328" s="149"/>
      <c r="Q328" s="149"/>
      <c r="R328" s="149"/>
    </row>
    <row r="329" spans="14:18" ht="12.5">
      <c r="N329" s="149"/>
      <c r="O329" s="149"/>
      <c r="P329" s="149"/>
      <c r="Q329" s="149"/>
      <c r="R329" s="149"/>
    </row>
    <row r="330" spans="14:18" ht="12.5">
      <c r="N330" s="149"/>
      <c r="O330" s="149"/>
      <c r="P330" s="149"/>
      <c r="Q330" s="149"/>
      <c r="R330" s="149"/>
    </row>
    <row r="331" spans="14:18" ht="12.5">
      <c r="N331" s="149"/>
      <c r="O331" s="149"/>
      <c r="P331" s="149"/>
      <c r="Q331" s="149"/>
      <c r="R331" s="149"/>
    </row>
    <row r="332" spans="14:18" ht="12.5">
      <c r="N332" s="149"/>
      <c r="O332" s="149"/>
      <c r="P332" s="149"/>
      <c r="Q332" s="149"/>
      <c r="R332" s="149"/>
    </row>
    <row r="333" spans="14:18" ht="12.5">
      <c r="N333" s="149"/>
      <c r="O333" s="149"/>
      <c r="P333" s="149"/>
      <c r="Q333" s="149"/>
      <c r="R333" s="149"/>
    </row>
    <row r="334" spans="14:18" ht="12.5">
      <c r="N334" s="149"/>
      <c r="O334" s="149"/>
      <c r="P334" s="149"/>
      <c r="Q334" s="149"/>
      <c r="R334" s="149"/>
    </row>
    <row r="335" spans="14:18" ht="12.5">
      <c r="N335" s="149"/>
      <c r="O335" s="149"/>
      <c r="P335" s="149"/>
      <c r="Q335" s="149"/>
      <c r="R335" s="149"/>
    </row>
    <row r="336" spans="14:18" ht="12.5">
      <c r="N336" s="149"/>
      <c r="O336" s="149"/>
      <c r="P336" s="149"/>
      <c r="Q336" s="149"/>
      <c r="R336" s="149"/>
    </row>
    <row r="337" spans="14:18" ht="12.5">
      <c r="N337" s="149"/>
      <c r="O337" s="149"/>
      <c r="P337" s="149"/>
      <c r="Q337" s="149"/>
      <c r="R337" s="149"/>
    </row>
    <row r="338" spans="14:18" ht="12.5">
      <c r="N338" s="149"/>
      <c r="O338" s="149"/>
      <c r="P338" s="149"/>
      <c r="Q338" s="149"/>
      <c r="R338" s="149"/>
    </row>
    <row r="339" spans="14:18" ht="12.5">
      <c r="N339" s="149"/>
      <c r="O339" s="149"/>
      <c r="P339" s="149"/>
      <c r="Q339" s="149"/>
      <c r="R339" s="149"/>
    </row>
    <row r="340" spans="14:18" ht="12.5">
      <c r="N340" s="149"/>
      <c r="O340" s="149"/>
      <c r="P340" s="149"/>
      <c r="Q340" s="149"/>
      <c r="R340" s="149"/>
    </row>
    <row r="341" spans="14:18" ht="12.5">
      <c r="N341" s="149"/>
      <c r="O341" s="149"/>
      <c r="P341" s="149"/>
      <c r="Q341" s="149"/>
      <c r="R341" s="149"/>
    </row>
    <row r="342" spans="14:18" ht="12.5">
      <c r="N342" s="149"/>
      <c r="O342" s="149"/>
      <c r="P342" s="149"/>
      <c r="Q342" s="149"/>
      <c r="R342" s="149"/>
    </row>
    <row r="343" spans="14:18" ht="12.5">
      <c r="N343" s="149"/>
      <c r="O343" s="149"/>
      <c r="P343" s="149"/>
      <c r="Q343" s="149"/>
      <c r="R343" s="149"/>
    </row>
    <row r="344" spans="14:18" ht="12.5">
      <c r="N344" s="149"/>
      <c r="O344" s="149"/>
      <c r="P344" s="149"/>
      <c r="Q344" s="149"/>
      <c r="R344" s="149"/>
    </row>
    <row r="345" spans="14:18" ht="12.5">
      <c r="N345" s="149"/>
      <c r="O345" s="149"/>
      <c r="P345" s="149"/>
      <c r="Q345" s="149"/>
      <c r="R345" s="149"/>
    </row>
    <row r="346" spans="14:18" ht="12.5">
      <c r="N346" s="149"/>
      <c r="O346" s="149"/>
      <c r="P346" s="149"/>
      <c r="Q346" s="149"/>
      <c r="R346" s="149"/>
    </row>
    <row r="347" spans="14:18" ht="12.5">
      <c r="N347" s="149"/>
      <c r="O347" s="149"/>
      <c r="P347" s="149"/>
      <c r="Q347" s="149"/>
      <c r="R347" s="149"/>
    </row>
    <row r="348" spans="14:18" ht="12.5">
      <c r="N348" s="149"/>
      <c r="O348" s="149"/>
      <c r="P348" s="149"/>
      <c r="Q348" s="149"/>
      <c r="R348" s="149"/>
    </row>
    <row r="349" spans="14:18" ht="12.5">
      <c r="N349" s="149"/>
      <c r="O349" s="149"/>
      <c r="P349" s="149"/>
      <c r="Q349" s="149"/>
      <c r="R349" s="149"/>
    </row>
    <row r="350" spans="14:18" ht="12.5">
      <c r="N350" s="149"/>
      <c r="O350" s="149"/>
      <c r="P350" s="149"/>
      <c r="Q350" s="149"/>
      <c r="R350" s="149"/>
    </row>
    <row r="351" spans="14:18" ht="12.5">
      <c r="N351" s="149"/>
      <c r="O351" s="149"/>
      <c r="P351" s="149"/>
      <c r="Q351" s="149"/>
      <c r="R351" s="149"/>
    </row>
    <row r="352" spans="14:18" ht="12.5">
      <c r="N352" s="149"/>
      <c r="O352" s="149"/>
      <c r="P352" s="149"/>
      <c r="Q352" s="149"/>
      <c r="R352" s="149"/>
    </row>
    <row r="353" spans="14:18" ht="12.5">
      <c r="N353" s="149"/>
      <c r="O353" s="149"/>
      <c r="P353" s="149"/>
      <c r="Q353" s="149"/>
      <c r="R353" s="149"/>
    </row>
    <row r="354" spans="14:18" ht="12.5">
      <c r="N354" s="149"/>
      <c r="O354" s="149"/>
      <c r="P354" s="149"/>
      <c r="Q354" s="149"/>
      <c r="R354" s="149"/>
    </row>
    <row r="355" spans="14:18" ht="12.5">
      <c r="N355" s="149"/>
      <c r="O355" s="149"/>
      <c r="P355" s="149"/>
      <c r="Q355" s="149"/>
      <c r="R355" s="149"/>
    </row>
    <row r="356" spans="14:18" ht="12.5">
      <c r="N356" s="149"/>
      <c r="O356" s="149"/>
      <c r="P356" s="149"/>
      <c r="Q356" s="149"/>
      <c r="R356" s="149"/>
    </row>
    <row r="357" spans="14:18" ht="12.5">
      <c r="N357" s="149"/>
      <c r="O357" s="149"/>
      <c r="P357" s="149"/>
      <c r="Q357" s="149"/>
      <c r="R357" s="149"/>
    </row>
    <row r="358" spans="14:18" ht="12.5">
      <c r="N358" s="149"/>
      <c r="O358" s="149"/>
      <c r="P358" s="149"/>
      <c r="Q358" s="149"/>
      <c r="R358" s="149"/>
    </row>
    <row r="359" spans="14:18" ht="12.5">
      <c r="N359" s="149"/>
      <c r="O359" s="149"/>
      <c r="P359" s="149"/>
      <c r="Q359" s="149"/>
      <c r="R359" s="149"/>
    </row>
    <row r="360" spans="14:18" ht="12.5">
      <c r="N360" s="149"/>
      <c r="O360" s="149"/>
      <c r="P360" s="149"/>
      <c r="Q360" s="149"/>
      <c r="R360" s="149"/>
    </row>
    <row r="361" spans="14:18" ht="12.5">
      <c r="N361" s="149"/>
      <c r="O361" s="149"/>
      <c r="P361" s="149"/>
      <c r="Q361" s="149"/>
      <c r="R361" s="149"/>
    </row>
    <row r="362" spans="14:18" ht="12.5">
      <c r="N362" s="149"/>
      <c r="O362" s="149"/>
      <c r="P362" s="149"/>
      <c r="Q362" s="149"/>
      <c r="R362" s="149"/>
    </row>
    <row r="363" spans="14:18" ht="12.5">
      <c r="N363" s="149"/>
      <c r="O363" s="149"/>
      <c r="P363" s="149"/>
      <c r="Q363" s="149"/>
      <c r="R363" s="149"/>
    </row>
    <row r="364" spans="14:18" ht="12.5">
      <c r="N364" s="149"/>
      <c r="O364" s="149"/>
      <c r="P364" s="149"/>
      <c r="Q364" s="149"/>
      <c r="R364" s="149"/>
    </row>
    <row r="365" spans="14:18" ht="12.5">
      <c r="N365" s="149"/>
      <c r="O365" s="149"/>
      <c r="P365" s="149"/>
      <c r="Q365" s="149"/>
      <c r="R365" s="149"/>
    </row>
    <row r="366" spans="14:18" ht="12.5">
      <c r="N366" s="149"/>
      <c r="O366" s="149"/>
      <c r="P366" s="149"/>
      <c r="Q366" s="149"/>
      <c r="R366" s="149"/>
    </row>
    <row r="367" spans="14:18" ht="12.5">
      <c r="N367" s="149"/>
      <c r="O367" s="149"/>
      <c r="P367" s="149"/>
      <c r="Q367" s="149"/>
      <c r="R367" s="149"/>
    </row>
    <row r="368" spans="14:18" ht="12.5">
      <c r="N368" s="149"/>
      <c r="O368" s="149"/>
      <c r="P368" s="149"/>
      <c r="Q368" s="149"/>
      <c r="R368" s="149"/>
    </row>
    <row r="369" spans="14:18" ht="12.5">
      <c r="N369" s="149"/>
      <c r="O369" s="149"/>
      <c r="P369" s="149"/>
      <c r="Q369" s="149"/>
      <c r="R369" s="149"/>
    </row>
    <row r="370" spans="14:18" ht="12.5">
      <c r="N370" s="149"/>
      <c r="O370" s="149"/>
      <c r="P370" s="149"/>
      <c r="Q370" s="149"/>
      <c r="R370" s="149"/>
    </row>
    <row r="371" spans="14:18" ht="12.5">
      <c r="N371" s="149"/>
      <c r="O371" s="149"/>
      <c r="P371" s="149"/>
      <c r="Q371" s="149"/>
      <c r="R371" s="149"/>
    </row>
    <row r="372" spans="14:18" ht="12.5">
      <c r="N372" s="149"/>
      <c r="O372" s="149"/>
      <c r="P372" s="149"/>
      <c r="Q372" s="149"/>
      <c r="R372" s="149"/>
    </row>
    <row r="373" spans="14:18" ht="12.5">
      <c r="N373" s="149"/>
      <c r="O373" s="149"/>
      <c r="P373" s="149"/>
      <c r="Q373" s="149"/>
      <c r="R373" s="149"/>
    </row>
    <row r="374" spans="14:18" ht="12.5">
      <c r="N374" s="149"/>
      <c r="O374" s="149"/>
      <c r="P374" s="149"/>
      <c r="Q374" s="149"/>
      <c r="R374" s="149"/>
    </row>
    <row r="375" spans="14:18" ht="12.5">
      <c r="N375" s="149"/>
      <c r="O375" s="149"/>
      <c r="P375" s="149"/>
      <c r="Q375" s="149"/>
      <c r="R375" s="149"/>
    </row>
    <row r="376" spans="14:18" ht="12.5">
      <c r="N376" s="149"/>
      <c r="O376" s="149"/>
      <c r="P376" s="149"/>
      <c r="Q376" s="149"/>
      <c r="R376" s="149"/>
    </row>
    <row r="377" spans="14:18" ht="12.5">
      <c r="N377" s="149"/>
      <c r="O377" s="149"/>
      <c r="P377" s="149"/>
      <c r="Q377" s="149"/>
      <c r="R377" s="149"/>
    </row>
    <row r="378" spans="14:18" ht="12.5">
      <c r="N378" s="149"/>
      <c r="O378" s="149"/>
      <c r="P378" s="149"/>
      <c r="Q378" s="149"/>
      <c r="R378" s="149"/>
    </row>
    <row r="379" spans="14:18" ht="12.5">
      <c r="N379" s="149"/>
      <c r="O379" s="149"/>
      <c r="P379" s="149"/>
      <c r="Q379" s="149"/>
      <c r="R379" s="149"/>
    </row>
    <row r="380" spans="14:18" ht="12.5">
      <c r="N380" s="149"/>
      <c r="O380" s="149"/>
      <c r="P380" s="149"/>
      <c r="Q380" s="149"/>
      <c r="R380" s="149"/>
    </row>
    <row r="381" spans="14:18" ht="12.5">
      <c r="N381" s="149"/>
      <c r="O381" s="149"/>
      <c r="P381" s="149"/>
      <c r="Q381" s="149"/>
      <c r="R381" s="149"/>
    </row>
    <row r="382" spans="14:18" ht="12.5">
      <c r="N382" s="149"/>
      <c r="O382" s="149"/>
      <c r="P382" s="149"/>
      <c r="Q382" s="149"/>
      <c r="R382" s="149"/>
    </row>
    <row r="383" spans="14:18" ht="12.5">
      <c r="N383" s="149"/>
      <c r="O383" s="149"/>
      <c r="P383" s="149"/>
      <c r="Q383" s="149"/>
      <c r="R383" s="149"/>
    </row>
    <row r="384" spans="14:18" ht="12.5">
      <c r="N384" s="149"/>
      <c r="O384" s="149"/>
      <c r="P384" s="149"/>
      <c r="Q384" s="149"/>
      <c r="R384" s="149"/>
    </row>
    <row r="385" spans="14:18" ht="12.5">
      <c r="N385" s="149"/>
      <c r="O385" s="149"/>
      <c r="P385" s="149"/>
      <c r="Q385" s="149"/>
      <c r="R385" s="149"/>
    </row>
    <row r="386" spans="14:18" ht="12.5">
      <c r="N386" s="149"/>
      <c r="O386" s="149"/>
      <c r="P386" s="149"/>
      <c r="Q386" s="149"/>
      <c r="R386" s="149"/>
    </row>
    <row r="387" spans="14:18" ht="12.5">
      <c r="N387" s="149"/>
      <c r="O387" s="149"/>
      <c r="P387" s="149"/>
      <c r="Q387" s="149"/>
      <c r="R387" s="149"/>
    </row>
    <row r="388" spans="14:18" ht="12.5">
      <c r="N388" s="149"/>
      <c r="O388" s="149"/>
      <c r="P388" s="149"/>
      <c r="Q388" s="149"/>
      <c r="R388" s="149"/>
    </row>
    <row r="389" spans="14:18" ht="12.5">
      <c r="N389" s="149"/>
      <c r="O389" s="149"/>
      <c r="P389" s="149"/>
      <c r="Q389" s="149"/>
      <c r="R389" s="149"/>
    </row>
    <row r="390" spans="14:18" ht="12.5">
      <c r="N390" s="149"/>
      <c r="O390" s="149"/>
      <c r="P390" s="149"/>
      <c r="Q390" s="149"/>
      <c r="R390" s="149"/>
    </row>
    <row r="391" spans="14:18" ht="12.5">
      <c r="N391" s="149"/>
      <c r="O391" s="149"/>
      <c r="P391" s="149"/>
      <c r="Q391" s="149"/>
      <c r="R391" s="149"/>
    </row>
    <row r="392" spans="14:18" ht="12.5">
      <c r="N392" s="149"/>
      <c r="O392" s="149"/>
      <c r="P392" s="149"/>
      <c r="Q392" s="149"/>
      <c r="R392" s="149"/>
    </row>
    <row r="393" spans="14:18" ht="12.5">
      <c r="N393" s="149"/>
      <c r="O393" s="149"/>
      <c r="P393" s="149"/>
      <c r="Q393" s="149"/>
      <c r="R393" s="149"/>
    </row>
    <row r="394" spans="14:18" ht="12.5">
      <c r="N394" s="149"/>
      <c r="O394" s="149"/>
      <c r="P394" s="149"/>
      <c r="Q394" s="149"/>
      <c r="R394" s="149"/>
    </row>
    <row r="395" spans="14:18" ht="12.5">
      <c r="N395" s="149"/>
      <c r="O395" s="149"/>
      <c r="P395" s="149"/>
      <c r="Q395" s="149"/>
      <c r="R395" s="149"/>
    </row>
    <row r="396" spans="14:18" ht="12.5">
      <c r="N396" s="149"/>
      <c r="O396" s="149"/>
      <c r="P396" s="149"/>
      <c r="Q396" s="149"/>
      <c r="R396" s="149"/>
    </row>
    <row r="397" spans="14:18" ht="12.5">
      <c r="N397" s="149"/>
      <c r="O397" s="149"/>
      <c r="P397" s="149"/>
      <c r="Q397" s="149"/>
      <c r="R397" s="149"/>
    </row>
    <row r="398" spans="14:18" ht="12.5">
      <c r="N398" s="149"/>
      <c r="O398" s="149"/>
      <c r="P398" s="149"/>
      <c r="Q398" s="149"/>
      <c r="R398" s="149"/>
    </row>
    <row r="399" spans="14:18" ht="12.5">
      <c r="N399" s="149"/>
      <c r="O399" s="149"/>
      <c r="P399" s="149"/>
      <c r="Q399" s="149"/>
      <c r="R399" s="149"/>
    </row>
    <row r="400" spans="14:18" ht="12.5">
      <c r="N400" s="149"/>
      <c r="O400" s="149"/>
      <c r="P400" s="149"/>
      <c r="Q400" s="149"/>
      <c r="R400" s="149"/>
    </row>
    <row r="401" spans="14:18" ht="12.5">
      <c r="N401" s="149"/>
      <c r="O401" s="149"/>
      <c r="P401" s="149"/>
      <c r="Q401" s="149"/>
      <c r="R401" s="149"/>
    </row>
    <row r="402" spans="14:18" ht="12.5">
      <c r="N402" s="149"/>
      <c r="O402" s="149"/>
      <c r="P402" s="149"/>
      <c r="Q402" s="149"/>
      <c r="R402" s="149"/>
    </row>
    <row r="403" spans="14:18" ht="12.5">
      <c r="N403" s="149"/>
      <c r="O403" s="149"/>
      <c r="P403" s="149"/>
      <c r="Q403" s="149"/>
      <c r="R403" s="149"/>
    </row>
    <row r="404" spans="14:18" ht="12.5">
      <c r="N404" s="149"/>
      <c r="O404" s="149"/>
      <c r="P404" s="149"/>
      <c r="Q404" s="149"/>
      <c r="R404" s="149"/>
    </row>
    <row r="405" spans="14:18" ht="12.5">
      <c r="N405" s="149"/>
      <c r="O405" s="149"/>
      <c r="P405" s="149"/>
      <c r="Q405" s="149"/>
      <c r="R405" s="149"/>
    </row>
    <row r="406" spans="14:18" ht="12.5">
      <c r="N406" s="149"/>
      <c r="O406" s="149"/>
      <c r="P406" s="149"/>
      <c r="Q406" s="149"/>
      <c r="R406" s="149"/>
    </row>
    <row r="407" spans="14:18" ht="12.5">
      <c r="N407" s="149"/>
      <c r="O407" s="149"/>
      <c r="P407" s="149"/>
      <c r="Q407" s="149"/>
      <c r="R407" s="149"/>
    </row>
    <row r="408" spans="14:18" ht="12.5">
      <c r="N408" s="149"/>
      <c r="O408" s="149"/>
      <c r="P408" s="149"/>
      <c r="Q408" s="149"/>
      <c r="R408" s="149"/>
    </row>
    <row r="409" spans="14:18" ht="12.5">
      <c r="N409" s="149"/>
      <c r="O409" s="149"/>
      <c r="P409" s="149"/>
      <c r="Q409" s="149"/>
      <c r="R409" s="149"/>
    </row>
    <row r="410" spans="14:18" ht="12.5">
      <c r="N410" s="149"/>
      <c r="O410" s="149"/>
      <c r="P410" s="149"/>
      <c r="Q410" s="149"/>
      <c r="R410" s="149"/>
    </row>
    <row r="411" spans="14:18" ht="12.5">
      <c r="N411" s="149"/>
      <c r="O411" s="149"/>
      <c r="P411" s="149"/>
      <c r="Q411" s="149"/>
      <c r="R411" s="149"/>
    </row>
    <row r="412" spans="14:18" ht="12.5">
      <c r="N412" s="149"/>
      <c r="O412" s="149"/>
      <c r="P412" s="149"/>
      <c r="Q412" s="149"/>
      <c r="R412" s="149"/>
    </row>
    <row r="413" spans="14:18" ht="12.5">
      <c r="N413" s="149"/>
      <c r="O413" s="149"/>
      <c r="P413" s="149"/>
      <c r="Q413" s="149"/>
      <c r="R413" s="149"/>
    </row>
    <row r="414" spans="14:18" ht="12.5">
      <c r="N414" s="149"/>
      <c r="O414" s="149"/>
      <c r="P414" s="149"/>
      <c r="Q414" s="149"/>
      <c r="R414" s="149"/>
    </row>
    <row r="415" spans="14:18" ht="12.5">
      <c r="N415" s="149"/>
      <c r="O415" s="149"/>
      <c r="P415" s="149"/>
      <c r="Q415" s="149"/>
      <c r="R415" s="149"/>
    </row>
    <row r="416" spans="14:18" ht="12.5">
      <c r="N416" s="149"/>
      <c r="O416" s="149"/>
      <c r="P416" s="149"/>
      <c r="Q416" s="149"/>
      <c r="R416" s="149"/>
    </row>
    <row r="417" spans="14:18" ht="12.5">
      <c r="N417" s="149"/>
      <c r="O417" s="149"/>
      <c r="P417" s="149"/>
      <c r="Q417" s="149"/>
      <c r="R417" s="149"/>
    </row>
    <row r="418" spans="14:18" ht="12.5">
      <c r="N418" s="149"/>
      <c r="O418" s="149"/>
      <c r="P418" s="149"/>
      <c r="Q418" s="149"/>
      <c r="R418" s="149"/>
    </row>
    <row r="419" spans="14:18" ht="12.5">
      <c r="N419" s="149"/>
      <c r="O419" s="149"/>
      <c r="P419" s="149"/>
      <c r="Q419" s="149"/>
      <c r="R419" s="149"/>
    </row>
    <row r="420" spans="14:18" ht="12.5">
      <c r="N420" s="149"/>
      <c r="O420" s="149"/>
      <c r="P420" s="149"/>
      <c r="Q420" s="149"/>
      <c r="R420" s="149"/>
    </row>
    <row r="421" spans="14:18" ht="12.5">
      <c r="N421" s="149"/>
      <c r="O421" s="149"/>
      <c r="P421" s="149"/>
      <c r="Q421" s="149"/>
      <c r="R421" s="149"/>
    </row>
    <row r="422" spans="14:18" ht="12.5">
      <c r="N422" s="149"/>
      <c r="O422" s="149"/>
      <c r="P422" s="149"/>
      <c r="Q422" s="149"/>
      <c r="R422" s="149"/>
    </row>
    <row r="423" spans="14:18" ht="12.5">
      <c r="N423" s="149"/>
      <c r="O423" s="149"/>
      <c r="P423" s="149"/>
      <c r="Q423" s="149"/>
      <c r="R423" s="149"/>
    </row>
    <row r="424" spans="14:18" ht="12.5">
      <c r="N424" s="149"/>
      <c r="O424" s="149"/>
      <c r="P424" s="149"/>
      <c r="Q424" s="149"/>
      <c r="R424" s="149"/>
    </row>
    <row r="425" spans="14:18" ht="12.5">
      <c r="N425" s="149"/>
      <c r="O425" s="149"/>
      <c r="P425" s="149"/>
      <c r="Q425" s="149"/>
      <c r="R425" s="149"/>
    </row>
    <row r="426" spans="14:18" ht="12.5">
      <c r="N426" s="149"/>
      <c r="O426" s="149"/>
      <c r="P426" s="149"/>
      <c r="Q426" s="149"/>
      <c r="R426" s="149"/>
    </row>
    <row r="427" spans="14:18" ht="12.5">
      <c r="N427" s="149"/>
      <c r="O427" s="149"/>
      <c r="P427" s="149"/>
      <c r="Q427" s="149"/>
      <c r="R427" s="149"/>
    </row>
    <row r="428" spans="14:18" ht="12.5">
      <c r="N428" s="149"/>
      <c r="O428" s="149"/>
      <c r="P428" s="149"/>
      <c r="Q428" s="149"/>
      <c r="R428" s="149"/>
    </row>
    <row r="429" spans="14:18" ht="12.5">
      <c r="N429" s="149"/>
      <c r="O429" s="149"/>
      <c r="P429" s="149"/>
      <c r="Q429" s="149"/>
      <c r="R429" s="149"/>
    </row>
    <row r="430" spans="14:18" ht="12.5">
      <c r="N430" s="149"/>
      <c r="O430" s="149"/>
      <c r="P430" s="149"/>
      <c r="Q430" s="149"/>
      <c r="R430" s="149"/>
    </row>
    <row r="431" spans="14:18" ht="12.5">
      <c r="N431" s="149"/>
      <c r="O431" s="149"/>
      <c r="P431" s="149"/>
      <c r="Q431" s="149"/>
      <c r="R431" s="149"/>
    </row>
    <row r="432" spans="14:18" ht="12.5">
      <c r="N432" s="149"/>
      <c r="O432" s="149"/>
      <c r="P432" s="149"/>
      <c r="Q432" s="149"/>
      <c r="R432" s="149"/>
    </row>
    <row r="433" spans="14:18" ht="12.5">
      <c r="N433" s="149"/>
      <c r="O433" s="149"/>
      <c r="P433" s="149"/>
      <c r="Q433" s="149"/>
      <c r="R433" s="149"/>
    </row>
    <row r="434" spans="14:18" ht="12.5">
      <c r="N434" s="149"/>
      <c r="O434" s="149"/>
      <c r="P434" s="149"/>
      <c r="Q434" s="149"/>
      <c r="R434" s="149"/>
    </row>
    <row r="435" spans="14:18" ht="12.5">
      <c r="N435" s="149"/>
      <c r="O435" s="149"/>
      <c r="P435" s="149"/>
      <c r="Q435" s="149"/>
      <c r="R435" s="149"/>
    </row>
    <row r="436" spans="14:18" ht="12.5">
      <c r="N436" s="149"/>
      <c r="O436" s="149"/>
      <c r="P436" s="149"/>
      <c r="Q436" s="149"/>
      <c r="R436" s="149"/>
    </row>
    <row r="437" spans="14:18" ht="12.5">
      <c r="N437" s="149"/>
      <c r="O437" s="149"/>
      <c r="P437" s="149"/>
      <c r="Q437" s="149"/>
      <c r="R437" s="149"/>
    </row>
    <row r="438" spans="14:18" ht="12.5">
      <c r="N438" s="149"/>
      <c r="O438" s="149"/>
      <c r="P438" s="149"/>
      <c r="Q438" s="149"/>
      <c r="R438" s="149"/>
    </row>
    <row r="439" spans="14:18" ht="12.5">
      <c r="N439" s="149"/>
      <c r="O439" s="149"/>
      <c r="P439" s="149"/>
      <c r="Q439" s="149"/>
      <c r="R439" s="149"/>
    </row>
    <row r="440" spans="14:18" ht="12.5">
      <c r="N440" s="149"/>
      <c r="O440" s="149"/>
      <c r="P440" s="149"/>
      <c r="Q440" s="149"/>
      <c r="R440" s="149"/>
    </row>
    <row r="441" spans="14:18" ht="12.5">
      <c r="N441" s="149"/>
      <c r="O441" s="149"/>
      <c r="P441" s="149"/>
      <c r="Q441" s="149"/>
      <c r="R441" s="149"/>
    </row>
    <row r="442" spans="14:18" ht="12.5">
      <c r="N442" s="149"/>
      <c r="O442" s="149"/>
      <c r="P442" s="149"/>
      <c r="Q442" s="149"/>
      <c r="R442" s="149"/>
    </row>
    <row r="443" spans="14:18" ht="12.5">
      <c r="N443" s="149"/>
      <c r="O443" s="149"/>
      <c r="P443" s="149"/>
      <c r="Q443" s="149"/>
      <c r="R443" s="149"/>
    </row>
    <row r="444" spans="14:18" ht="12.5">
      <c r="N444" s="149"/>
      <c r="O444" s="149"/>
      <c r="P444" s="149"/>
      <c r="Q444" s="149"/>
      <c r="R444" s="149"/>
    </row>
    <row r="445" spans="14:18" ht="12.5">
      <c r="N445" s="149"/>
      <c r="O445" s="149"/>
      <c r="P445" s="149"/>
      <c r="Q445" s="149"/>
      <c r="R445" s="149"/>
    </row>
    <row r="446" spans="14:18" ht="12.5">
      <c r="N446" s="149"/>
      <c r="O446" s="149"/>
      <c r="P446" s="149"/>
      <c r="Q446" s="149"/>
      <c r="R446" s="149"/>
    </row>
    <row r="447" spans="14:18" ht="12.5">
      <c r="N447" s="149"/>
      <c r="O447" s="149"/>
      <c r="P447" s="149"/>
      <c r="Q447" s="149"/>
      <c r="R447" s="149"/>
    </row>
    <row r="448" spans="14:18" ht="12.5">
      <c r="N448" s="149"/>
      <c r="O448" s="149"/>
      <c r="P448" s="149"/>
      <c r="Q448" s="149"/>
      <c r="R448" s="149"/>
    </row>
    <row r="449" spans="14:18" ht="12.5">
      <c r="N449" s="149"/>
      <c r="O449" s="149"/>
      <c r="P449" s="149"/>
      <c r="Q449" s="149"/>
      <c r="R449" s="149"/>
    </row>
    <row r="450" spans="14:18" ht="12.5">
      <c r="N450" s="149"/>
      <c r="O450" s="149"/>
      <c r="P450" s="149"/>
      <c r="Q450" s="149"/>
      <c r="R450" s="149"/>
    </row>
    <row r="451" spans="14:18" ht="12.5">
      <c r="N451" s="149"/>
      <c r="O451" s="149"/>
      <c r="P451" s="149"/>
      <c r="Q451" s="149"/>
      <c r="R451" s="149"/>
    </row>
    <row r="452" spans="14:18" ht="12.5">
      <c r="N452" s="149"/>
      <c r="O452" s="149"/>
      <c r="P452" s="149"/>
      <c r="Q452" s="149"/>
      <c r="R452" s="149"/>
    </row>
    <row r="453" spans="14:18" ht="12.5">
      <c r="N453" s="149"/>
      <c r="O453" s="149"/>
      <c r="P453" s="149"/>
      <c r="Q453" s="149"/>
      <c r="R453" s="149"/>
    </row>
    <row r="454" spans="14:18" ht="12.5">
      <c r="N454" s="149"/>
      <c r="O454" s="149"/>
      <c r="P454" s="149"/>
      <c r="Q454" s="149"/>
      <c r="R454" s="149"/>
    </row>
    <row r="455" spans="14:18" ht="12.5">
      <c r="N455" s="149"/>
      <c r="O455" s="149"/>
      <c r="P455" s="149"/>
      <c r="Q455" s="149"/>
      <c r="R455" s="149"/>
    </row>
    <row r="456" spans="14:18" ht="12.5">
      <c r="N456" s="149"/>
      <c r="O456" s="149"/>
      <c r="P456" s="149"/>
      <c r="Q456" s="149"/>
      <c r="R456" s="149"/>
    </row>
    <row r="457" spans="14:18" ht="12.5">
      <c r="N457" s="149"/>
      <c r="O457" s="149"/>
      <c r="P457" s="149"/>
      <c r="Q457" s="149"/>
      <c r="R457" s="149"/>
    </row>
    <row r="458" spans="14:18" ht="12.5">
      <c r="N458" s="149"/>
      <c r="O458" s="149"/>
      <c r="P458" s="149"/>
      <c r="Q458" s="149"/>
      <c r="R458" s="149"/>
    </row>
    <row r="459" spans="14:18" ht="12.5">
      <c r="N459" s="149"/>
      <c r="O459" s="149"/>
      <c r="P459" s="149"/>
      <c r="Q459" s="149"/>
      <c r="R459" s="149"/>
    </row>
    <row r="460" spans="14:18" ht="12.5">
      <c r="N460" s="149"/>
      <c r="O460" s="149"/>
      <c r="P460" s="149"/>
      <c r="Q460" s="149"/>
      <c r="R460" s="149"/>
    </row>
    <row r="461" spans="14:18" ht="12.5">
      <c r="N461" s="149"/>
      <c r="O461" s="149"/>
      <c r="P461" s="149"/>
      <c r="Q461" s="149"/>
      <c r="R461" s="149"/>
    </row>
    <row r="462" spans="14:18" ht="12.5">
      <c r="N462" s="149"/>
      <c r="O462" s="149"/>
      <c r="P462" s="149"/>
      <c r="Q462" s="149"/>
      <c r="R462" s="149"/>
    </row>
    <row r="463" spans="14:18" ht="12.5">
      <c r="N463" s="149"/>
      <c r="O463" s="149"/>
      <c r="P463" s="149"/>
      <c r="Q463" s="149"/>
      <c r="R463" s="149"/>
    </row>
    <row r="464" spans="14:18" ht="12.5">
      <c r="N464" s="149"/>
      <c r="O464" s="149"/>
      <c r="P464" s="149"/>
      <c r="Q464" s="149"/>
      <c r="R464" s="149"/>
    </row>
    <row r="465" spans="14:18" ht="12.5">
      <c r="N465" s="149"/>
      <c r="O465" s="149"/>
      <c r="P465" s="149"/>
      <c r="Q465" s="149"/>
      <c r="R465" s="149"/>
    </row>
    <row r="466" spans="14:18" ht="12.5">
      <c r="N466" s="149"/>
      <c r="O466" s="149"/>
      <c r="P466" s="149"/>
      <c r="Q466" s="149"/>
      <c r="R466" s="149"/>
    </row>
    <row r="467" spans="14:18" ht="12.5">
      <c r="N467" s="149"/>
      <c r="O467" s="149"/>
      <c r="P467" s="149"/>
      <c r="Q467" s="149"/>
      <c r="R467" s="149"/>
    </row>
    <row r="468" spans="14:18" ht="12.5">
      <c r="N468" s="149"/>
      <c r="O468" s="149"/>
      <c r="P468" s="149"/>
      <c r="Q468" s="149"/>
      <c r="R468" s="149"/>
    </row>
    <row r="469" spans="14:18" ht="12.5">
      <c r="N469" s="149"/>
      <c r="O469" s="149"/>
      <c r="P469" s="149"/>
      <c r="Q469" s="149"/>
      <c r="R469" s="149"/>
    </row>
    <row r="470" spans="14:18" ht="12.5">
      <c r="N470" s="149"/>
      <c r="O470" s="149"/>
      <c r="P470" s="149"/>
      <c r="Q470" s="149"/>
      <c r="R470" s="149"/>
    </row>
    <row r="471" spans="14:18" ht="12.5">
      <c r="N471" s="149"/>
      <c r="O471" s="149"/>
      <c r="P471" s="149"/>
      <c r="Q471" s="149"/>
      <c r="R471" s="149"/>
    </row>
    <row r="472" spans="14:18" ht="12.5">
      <c r="N472" s="149"/>
      <c r="O472" s="149"/>
      <c r="P472" s="149"/>
      <c r="Q472" s="149"/>
      <c r="R472" s="149"/>
    </row>
    <row r="473" spans="14:18" ht="12.5">
      <c r="N473" s="149"/>
      <c r="O473" s="149"/>
      <c r="P473" s="149"/>
      <c r="Q473" s="149"/>
      <c r="R473" s="149"/>
    </row>
    <row r="474" spans="14:18" ht="12.5">
      <c r="N474" s="149"/>
      <c r="O474" s="149"/>
      <c r="P474" s="149"/>
      <c r="Q474" s="149"/>
      <c r="R474" s="149"/>
    </row>
    <row r="475" spans="14:18" ht="12.5">
      <c r="N475" s="149"/>
      <c r="O475" s="149"/>
      <c r="P475" s="149"/>
      <c r="Q475" s="149"/>
      <c r="R475" s="149"/>
    </row>
    <row r="476" spans="14:18" ht="12.5">
      <c r="N476" s="149"/>
      <c r="O476" s="149"/>
      <c r="P476" s="149"/>
      <c r="Q476" s="149"/>
      <c r="R476" s="149"/>
    </row>
    <row r="477" spans="14:18" ht="12.5">
      <c r="N477" s="149"/>
      <c r="O477" s="149"/>
      <c r="P477" s="149"/>
      <c r="Q477" s="149"/>
      <c r="R477" s="149"/>
    </row>
    <row r="478" spans="14:18" ht="12.5">
      <c r="N478" s="149"/>
      <c r="O478" s="149"/>
      <c r="P478" s="149"/>
      <c r="Q478" s="149"/>
      <c r="R478" s="149"/>
    </row>
    <row r="479" spans="14:18" ht="12.5">
      <c r="N479" s="149"/>
      <c r="O479" s="149"/>
      <c r="P479" s="149"/>
      <c r="Q479" s="149"/>
      <c r="R479" s="149"/>
    </row>
    <row r="480" spans="14:18" ht="12.5">
      <c r="N480" s="149"/>
      <c r="O480" s="149"/>
      <c r="P480" s="149"/>
      <c r="Q480" s="149"/>
      <c r="R480" s="149"/>
    </row>
    <row r="481" spans="14:18" ht="12.5">
      <c r="N481" s="149"/>
      <c r="O481" s="149"/>
      <c r="P481" s="149"/>
      <c r="Q481" s="149"/>
      <c r="R481" s="149"/>
    </row>
    <row r="482" spans="14:18" ht="12.5">
      <c r="N482" s="149"/>
      <c r="O482" s="149"/>
      <c r="P482" s="149"/>
      <c r="Q482" s="149"/>
      <c r="R482" s="149"/>
    </row>
    <row r="483" spans="14:18" ht="12.5">
      <c r="N483" s="149"/>
      <c r="O483" s="149"/>
      <c r="P483" s="149"/>
      <c r="Q483" s="149"/>
      <c r="R483" s="149"/>
    </row>
    <row r="484" spans="14:18" ht="12.5">
      <c r="N484" s="149"/>
      <c r="O484" s="149"/>
      <c r="P484" s="149"/>
      <c r="Q484" s="149"/>
      <c r="R484" s="149"/>
    </row>
    <row r="485" spans="14:18" ht="12.5">
      <c r="N485" s="149"/>
      <c r="O485" s="149"/>
      <c r="P485" s="149"/>
      <c r="Q485" s="149"/>
      <c r="R485" s="149"/>
    </row>
    <row r="486" spans="14:18" ht="12.5">
      <c r="N486" s="149"/>
      <c r="O486" s="149"/>
      <c r="P486" s="149"/>
      <c r="Q486" s="149"/>
      <c r="R486" s="149"/>
    </row>
    <row r="487" spans="14:18" ht="12.5">
      <c r="N487" s="149"/>
      <c r="O487" s="149"/>
      <c r="P487" s="149"/>
      <c r="Q487" s="149"/>
      <c r="R487" s="149"/>
    </row>
    <row r="488" spans="14:18" ht="12.5">
      <c r="N488" s="149"/>
      <c r="O488" s="149"/>
      <c r="P488" s="149"/>
      <c r="Q488" s="149"/>
      <c r="R488" s="149"/>
    </row>
    <row r="489" spans="14:18" ht="12.5">
      <c r="N489" s="149"/>
      <c r="O489" s="149"/>
      <c r="P489" s="149"/>
      <c r="Q489" s="149"/>
      <c r="R489" s="149"/>
    </row>
    <row r="490" spans="14:18" ht="12.5">
      <c r="N490" s="149"/>
      <c r="O490" s="149"/>
      <c r="P490" s="149"/>
      <c r="Q490" s="149"/>
      <c r="R490" s="149"/>
    </row>
    <row r="491" spans="14:18" ht="12.5">
      <c r="N491" s="149"/>
      <c r="O491" s="149"/>
      <c r="P491" s="149"/>
      <c r="Q491" s="149"/>
      <c r="R491" s="149"/>
    </row>
    <row r="492" spans="14:18" ht="12.5">
      <c r="N492" s="149"/>
      <c r="O492" s="149"/>
      <c r="P492" s="149"/>
      <c r="Q492" s="149"/>
      <c r="R492" s="149"/>
    </row>
    <row r="493" spans="14:18" ht="12.5">
      <c r="N493" s="149"/>
      <c r="O493" s="149"/>
      <c r="P493" s="149"/>
      <c r="Q493" s="149"/>
      <c r="R493" s="149"/>
    </row>
    <row r="494" spans="14:18" ht="12.5">
      <c r="N494" s="149"/>
      <c r="O494" s="149"/>
      <c r="P494" s="149"/>
      <c r="Q494" s="149"/>
      <c r="R494" s="149"/>
    </row>
    <row r="495" spans="14:18" ht="12.5">
      <c r="N495" s="149"/>
      <c r="O495" s="149"/>
      <c r="P495" s="149"/>
      <c r="Q495" s="149"/>
      <c r="R495" s="149"/>
    </row>
    <row r="496" spans="14:18" ht="12.5">
      <c r="N496" s="149"/>
      <c r="O496" s="149"/>
      <c r="P496" s="149"/>
      <c r="Q496" s="149"/>
      <c r="R496" s="149"/>
    </row>
    <row r="497" spans="14:18" ht="12.5">
      <c r="N497" s="149"/>
      <c r="O497" s="149"/>
      <c r="P497" s="149"/>
      <c r="Q497" s="149"/>
      <c r="R497" s="149"/>
    </row>
    <row r="498" spans="14:18" ht="12.5">
      <c r="N498" s="149"/>
      <c r="O498" s="149"/>
      <c r="P498" s="149"/>
      <c r="Q498" s="149"/>
      <c r="R498" s="149"/>
    </row>
    <row r="499" spans="14:18" ht="12.5">
      <c r="N499" s="149"/>
      <c r="O499" s="149"/>
      <c r="P499" s="149"/>
      <c r="Q499" s="149"/>
      <c r="R499" s="149"/>
    </row>
    <row r="500" spans="14:18" ht="12.5">
      <c r="N500" s="149"/>
      <c r="O500" s="149"/>
      <c r="P500" s="149"/>
      <c r="Q500" s="149"/>
      <c r="R500" s="149"/>
    </row>
    <row r="501" spans="14:18" ht="12.5">
      <c r="N501" s="149"/>
      <c r="O501" s="149"/>
      <c r="P501" s="149"/>
      <c r="Q501" s="149"/>
      <c r="R501" s="149"/>
    </row>
    <row r="502" spans="14:18" ht="12.5">
      <c r="N502" s="149"/>
      <c r="O502" s="149"/>
      <c r="P502" s="149"/>
      <c r="Q502" s="149"/>
      <c r="R502" s="149"/>
    </row>
    <row r="503" spans="14:18" ht="12.5">
      <c r="N503" s="149"/>
      <c r="O503" s="149"/>
      <c r="P503" s="149"/>
      <c r="Q503" s="149"/>
      <c r="R503" s="149"/>
    </row>
    <row r="504" spans="14:18" ht="12.5">
      <c r="N504" s="149"/>
      <c r="O504" s="149"/>
      <c r="P504" s="149"/>
      <c r="Q504" s="149"/>
      <c r="R504" s="149"/>
    </row>
    <row r="505" spans="14:18" ht="12.5">
      <c r="N505" s="149"/>
      <c r="O505" s="149"/>
      <c r="P505" s="149"/>
      <c r="Q505" s="149"/>
      <c r="R505" s="149"/>
    </row>
    <row r="506" spans="14:18" ht="12.5">
      <c r="N506" s="149"/>
      <c r="O506" s="149"/>
      <c r="P506" s="149"/>
      <c r="Q506" s="149"/>
      <c r="R506" s="149"/>
    </row>
    <row r="507" spans="14:18" ht="12.5">
      <c r="N507" s="149"/>
      <c r="O507" s="149"/>
      <c r="P507" s="149"/>
      <c r="Q507" s="149"/>
      <c r="R507" s="149"/>
    </row>
    <row r="508" spans="14:18" ht="12.5">
      <c r="N508" s="149"/>
      <c r="O508" s="149"/>
      <c r="P508" s="149"/>
      <c r="Q508" s="149"/>
      <c r="R508" s="149"/>
    </row>
    <row r="509" spans="14:18" ht="12.5">
      <c r="N509" s="149"/>
      <c r="O509" s="149"/>
      <c r="P509" s="149"/>
      <c r="Q509" s="149"/>
      <c r="R509" s="149"/>
    </row>
    <row r="510" spans="14:18" ht="12.5">
      <c r="N510" s="149"/>
      <c r="O510" s="149"/>
      <c r="P510" s="149"/>
      <c r="Q510" s="149"/>
      <c r="R510" s="149"/>
    </row>
    <row r="511" spans="14:18" ht="12.5">
      <c r="N511" s="149"/>
      <c r="O511" s="149"/>
      <c r="P511" s="149"/>
      <c r="Q511" s="149"/>
      <c r="R511" s="149"/>
    </row>
    <row r="512" spans="14:18" ht="12.5">
      <c r="N512" s="149"/>
      <c r="O512" s="149"/>
      <c r="P512" s="149"/>
      <c r="Q512" s="149"/>
      <c r="R512" s="149"/>
    </row>
    <row r="513" spans="14:18" ht="12.5">
      <c r="N513" s="149"/>
      <c r="O513" s="149"/>
      <c r="P513" s="149"/>
      <c r="Q513" s="149"/>
      <c r="R513" s="149"/>
    </row>
    <row r="514" spans="14:18" ht="12.5">
      <c r="N514" s="149"/>
      <c r="O514" s="149"/>
      <c r="P514" s="149"/>
      <c r="Q514" s="149"/>
      <c r="R514" s="149"/>
    </row>
    <row r="515" spans="14:18" ht="12.5">
      <c r="N515" s="149"/>
      <c r="O515" s="149"/>
      <c r="P515" s="149"/>
      <c r="Q515" s="149"/>
      <c r="R515" s="149"/>
    </row>
    <row r="516" spans="14:18" ht="12.5">
      <c r="N516" s="149"/>
      <c r="O516" s="149"/>
      <c r="P516" s="149"/>
      <c r="Q516" s="149"/>
      <c r="R516" s="149"/>
    </row>
    <row r="517" spans="14:18" ht="12.5">
      <c r="N517" s="149"/>
      <c r="O517" s="149"/>
      <c r="P517" s="149"/>
      <c r="Q517" s="149"/>
      <c r="R517" s="149"/>
    </row>
    <row r="518" spans="14:18" ht="12.5">
      <c r="N518" s="149"/>
      <c r="O518" s="149"/>
      <c r="P518" s="149"/>
      <c r="Q518" s="149"/>
      <c r="R518" s="149"/>
    </row>
    <row r="519" spans="14:18" ht="12.5">
      <c r="N519" s="149"/>
      <c r="O519" s="149"/>
      <c r="P519" s="149"/>
      <c r="Q519" s="149"/>
      <c r="R519" s="149"/>
    </row>
    <row r="520" spans="14:18" ht="12.5">
      <c r="N520" s="149"/>
      <c r="O520" s="149"/>
      <c r="P520" s="149"/>
      <c r="Q520" s="149"/>
      <c r="R520" s="149"/>
    </row>
    <row r="521" spans="14:18" ht="12.5">
      <c r="N521" s="149"/>
      <c r="O521" s="149"/>
      <c r="P521" s="149"/>
      <c r="Q521" s="149"/>
      <c r="R521" s="149"/>
    </row>
    <row r="522" spans="14:18" ht="12.5">
      <c r="N522" s="149"/>
      <c r="O522" s="149"/>
      <c r="P522" s="149"/>
      <c r="Q522" s="149"/>
      <c r="R522" s="149"/>
    </row>
    <row r="523" spans="14:18" ht="12.5">
      <c r="N523" s="149"/>
      <c r="O523" s="149"/>
      <c r="P523" s="149"/>
      <c r="Q523" s="149"/>
      <c r="R523" s="149"/>
    </row>
    <row r="524" spans="14:18" ht="12.5">
      <c r="N524" s="149"/>
      <c r="O524" s="149"/>
      <c r="P524" s="149"/>
      <c r="Q524" s="149"/>
      <c r="R524" s="149"/>
    </row>
    <row r="525" spans="14:18" ht="12.5">
      <c r="N525" s="149"/>
      <c r="O525" s="149"/>
      <c r="P525" s="149"/>
      <c r="Q525" s="149"/>
      <c r="R525" s="149"/>
    </row>
    <row r="526" spans="14:18" ht="12.5">
      <c r="N526" s="149"/>
      <c r="O526" s="149"/>
      <c r="P526" s="149"/>
      <c r="Q526" s="149"/>
      <c r="R526" s="149"/>
    </row>
    <row r="527" spans="14:18" ht="12.5">
      <c r="N527" s="149"/>
      <c r="O527" s="149"/>
      <c r="P527" s="149"/>
      <c r="Q527" s="149"/>
      <c r="R527" s="149"/>
    </row>
    <row r="528" spans="14:18" ht="12.5">
      <c r="N528" s="149"/>
      <c r="O528" s="149"/>
      <c r="P528" s="149"/>
      <c r="Q528" s="149"/>
      <c r="R528" s="149"/>
    </row>
    <row r="529" spans="14:18" ht="12.5">
      <c r="N529" s="149"/>
      <c r="O529" s="149"/>
      <c r="P529" s="149"/>
      <c r="Q529" s="149"/>
      <c r="R529" s="149"/>
    </row>
    <row r="530" spans="14:18" ht="12.5">
      <c r="N530" s="149"/>
      <c r="O530" s="149"/>
      <c r="P530" s="149"/>
      <c r="Q530" s="149"/>
      <c r="R530" s="149"/>
    </row>
    <row r="531" spans="14:18" ht="12.5">
      <c r="N531" s="149"/>
      <c r="O531" s="149"/>
      <c r="P531" s="149"/>
      <c r="Q531" s="149"/>
      <c r="R531" s="149"/>
    </row>
    <row r="532" spans="14:18" ht="12.5">
      <c r="N532" s="149"/>
      <c r="O532" s="149"/>
      <c r="P532" s="149"/>
      <c r="Q532" s="149"/>
      <c r="R532" s="149"/>
    </row>
    <row r="533" spans="14:18" ht="12.5">
      <c r="N533" s="149"/>
      <c r="O533" s="149"/>
      <c r="P533" s="149"/>
      <c r="Q533" s="149"/>
      <c r="R533" s="149"/>
    </row>
    <row r="534" spans="14:18" ht="12.5">
      <c r="N534" s="149"/>
      <c r="O534" s="149"/>
      <c r="P534" s="149"/>
      <c r="Q534" s="149"/>
      <c r="R534" s="149"/>
    </row>
    <row r="535" spans="14:18" ht="12.5">
      <c r="N535" s="149"/>
      <c r="O535" s="149"/>
      <c r="P535" s="149"/>
      <c r="Q535" s="149"/>
      <c r="R535" s="149"/>
    </row>
    <row r="536" spans="14:18" ht="12.5">
      <c r="N536" s="149"/>
      <c r="O536" s="149"/>
      <c r="P536" s="149"/>
      <c r="Q536" s="149"/>
      <c r="R536" s="149"/>
    </row>
    <row r="537" spans="14:18" ht="12.5">
      <c r="N537" s="149"/>
      <c r="O537" s="149"/>
      <c r="P537" s="149"/>
      <c r="Q537" s="149"/>
      <c r="R537" s="149"/>
    </row>
    <row r="538" spans="14:18" ht="12.5">
      <c r="N538" s="149"/>
      <c r="O538" s="149"/>
      <c r="P538" s="149"/>
      <c r="Q538" s="149"/>
      <c r="R538" s="149"/>
    </row>
    <row r="539" spans="14:18" ht="12.5">
      <c r="N539" s="149"/>
      <c r="O539" s="149"/>
      <c r="P539" s="149"/>
      <c r="Q539" s="149"/>
      <c r="R539" s="149"/>
    </row>
    <row r="540" spans="14:18" ht="12.5">
      <c r="N540" s="149"/>
      <c r="O540" s="149"/>
      <c r="P540" s="149"/>
      <c r="Q540" s="149"/>
      <c r="R540" s="149"/>
    </row>
    <row r="541" spans="14:18" ht="12.5">
      <c r="N541" s="149"/>
      <c r="O541" s="149"/>
      <c r="P541" s="149"/>
      <c r="Q541" s="149"/>
      <c r="R541" s="149"/>
    </row>
    <row r="542" spans="14:18" ht="12.5">
      <c r="N542" s="149"/>
      <c r="O542" s="149"/>
      <c r="P542" s="149"/>
      <c r="Q542" s="149"/>
      <c r="R542" s="149"/>
    </row>
    <row r="543" spans="14:18" ht="12.5">
      <c r="N543" s="149"/>
      <c r="O543" s="149"/>
      <c r="P543" s="149"/>
      <c r="Q543" s="149"/>
      <c r="R543" s="149"/>
    </row>
    <row r="544" spans="14:18" ht="12.5">
      <c r="N544" s="149"/>
      <c r="O544" s="149"/>
      <c r="P544" s="149"/>
      <c r="Q544" s="149"/>
      <c r="R544" s="149"/>
    </row>
    <row r="545" spans="14:18" ht="12.5">
      <c r="N545" s="149"/>
      <c r="O545" s="149"/>
      <c r="P545" s="149"/>
      <c r="Q545" s="149"/>
      <c r="R545" s="149"/>
    </row>
    <row r="546" spans="14:18" ht="12.5">
      <c r="N546" s="149"/>
      <c r="O546" s="149"/>
      <c r="P546" s="149"/>
      <c r="Q546" s="149"/>
      <c r="R546" s="149"/>
    </row>
    <row r="547" spans="14:18" ht="12.5">
      <c r="N547" s="149"/>
      <c r="O547" s="149"/>
      <c r="P547" s="149"/>
      <c r="Q547" s="149"/>
      <c r="R547" s="149"/>
    </row>
    <row r="548" spans="14:18" ht="12.5">
      <c r="N548" s="149"/>
      <c r="O548" s="149"/>
      <c r="P548" s="149"/>
      <c r="Q548" s="149"/>
      <c r="R548" s="149"/>
    </row>
    <row r="549" spans="14:18" ht="12.5">
      <c r="N549" s="149"/>
      <c r="O549" s="149"/>
      <c r="P549" s="149"/>
      <c r="Q549" s="149"/>
      <c r="R549" s="149"/>
    </row>
    <row r="550" spans="14:18" ht="12.5">
      <c r="N550" s="149"/>
      <c r="O550" s="149"/>
      <c r="P550" s="149"/>
      <c r="Q550" s="149"/>
      <c r="R550" s="149"/>
    </row>
    <row r="551" spans="14:18" ht="12.5">
      <c r="N551" s="149"/>
      <c r="O551" s="149"/>
      <c r="P551" s="149"/>
      <c r="Q551" s="149"/>
      <c r="R551" s="149"/>
    </row>
    <row r="552" spans="14:18" ht="12.5">
      <c r="N552" s="149"/>
      <c r="O552" s="149"/>
      <c r="P552" s="149"/>
      <c r="Q552" s="149"/>
      <c r="R552" s="149"/>
    </row>
    <row r="553" spans="14:18" ht="12.5">
      <c r="N553" s="149"/>
      <c r="O553" s="149"/>
      <c r="P553" s="149"/>
      <c r="Q553" s="149"/>
      <c r="R553" s="149"/>
    </row>
    <row r="554" spans="14:18" ht="12.5">
      <c r="N554" s="149"/>
      <c r="O554" s="149"/>
      <c r="P554" s="149"/>
      <c r="Q554" s="149"/>
      <c r="R554" s="149"/>
    </row>
    <row r="555" spans="14:18" ht="12.5">
      <c r="N555" s="149"/>
      <c r="O555" s="149"/>
      <c r="P555" s="149"/>
      <c r="Q555" s="149"/>
      <c r="R555" s="149"/>
    </row>
    <row r="556" spans="14:18" ht="12.5">
      <c r="N556" s="149"/>
      <c r="O556" s="149"/>
      <c r="P556" s="149"/>
      <c r="Q556" s="149"/>
      <c r="R556" s="149"/>
    </row>
    <row r="557" spans="14:18" ht="12.5">
      <c r="N557" s="149"/>
      <c r="O557" s="149"/>
      <c r="P557" s="149"/>
      <c r="Q557" s="149"/>
      <c r="R557" s="149"/>
    </row>
    <row r="558" spans="14:18" ht="12.5">
      <c r="N558" s="149"/>
      <c r="O558" s="149"/>
      <c r="P558" s="149"/>
      <c r="Q558" s="149"/>
      <c r="R558" s="149"/>
    </row>
    <row r="559" spans="14:18" ht="12.5">
      <c r="N559" s="149"/>
      <c r="O559" s="149"/>
      <c r="P559" s="149"/>
      <c r="Q559" s="149"/>
      <c r="R559" s="149"/>
    </row>
    <row r="560" spans="14:18" ht="12.5">
      <c r="N560" s="149"/>
      <c r="O560" s="149"/>
      <c r="P560" s="149"/>
      <c r="Q560" s="149"/>
      <c r="R560" s="149"/>
    </row>
    <row r="561" spans="14:18" ht="12.5">
      <c r="N561" s="149"/>
      <c r="O561" s="149"/>
      <c r="P561" s="149"/>
      <c r="Q561" s="149"/>
      <c r="R561" s="149"/>
    </row>
    <row r="562" spans="14:18" ht="12.5">
      <c r="N562" s="149"/>
      <c r="O562" s="149"/>
      <c r="P562" s="149"/>
      <c r="Q562" s="149"/>
      <c r="R562" s="149"/>
    </row>
    <row r="563" spans="14:18" ht="12.5">
      <c r="N563" s="149"/>
      <c r="O563" s="149"/>
      <c r="P563" s="149"/>
      <c r="Q563" s="149"/>
      <c r="R563" s="149"/>
    </row>
    <row r="564" spans="14:18" ht="12.5">
      <c r="N564" s="149"/>
      <c r="O564" s="149"/>
      <c r="P564" s="149"/>
      <c r="Q564" s="149"/>
      <c r="R564" s="149"/>
    </row>
    <row r="565" spans="14:18" ht="12.5">
      <c r="N565" s="149"/>
      <c r="O565" s="149"/>
      <c r="P565" s="149"/>
      <c r="Q565" s="149"/>
      <c r="R565" s="149"/>
    </row>
    <row r="566" spans="14:18" ht="12.5">
      <c r="N566" s="149"/>
      <c r="O566" s="149"/>
      <c r="P566" s="149"/>
      <c r="Q566" s="149"/>
      <c r="R566" s="149"/>
    </row>
    <row r="567" spans="14:18" ht="12.5">
      <c r="N567" s="149"/>
      <c r="O567" s="149"/>
      <c r="P567" s="149"/>
      <c r="Q567" s="149"/>
      <c r="R567" s="149"/>
    </row>
    <row r="568" spans="14:18" ht="12.5">
      <c r="N568" s="149"/>
      <c r="O568" s="149"/>
      <c r="P568" s="149"/>
      <c r="Q568" s="149"/>
      <c r="R568" s="149"/>
    </row>
    <row r="569" spans="14:18" ht="12.5">
      <c r="N569" s="149"/>
      <c r="O569" s="149"/>
      <c r="P569" s="149"/>
      <c r="Q569" s="149"/>
      <c r="R569" s="149"/>
    </row>
    <row r="570" spans="14:18" ht="12.5">
      <c r="N570" s="149"/>
      <c r="O570" s="149"/>
      <c r="P570" s="149"/>
      <c r="Q570" s="149"/>
      <c r="R570" s="149"/>
    </row>
    <row r="571" spans="14:18" ht="12.5">
      <c r="N571" s="149"/>
      <c r="O571" s="149"/>
      <c r="P571" s="149"/>
      <c r="Q571" s="149"/>
      <c r="R571" s="149"/>
    </row>
    <row r="572" spans="14:18" ht="12.5">
      <c r="N572" s="149"/>
      <c r="O572" s="149"/>
      <c r="P572" s="149"/>
      <c r="Q572" s="149"/>
      <c r="R572" s="149"/>
    </row>
    <row r="573" spans="14:18" ht="12.5">
      <c r="N573" s="149"/>
      <c r="O573" s="149"/>
      <c r="P573" s="149"/>
      <c r="Q573" s="149"/>
      <c r="R573" s="149"/>
    </row>
    <row r="574" spans="14:18" ht="12.5">
      <c r="N574" s="149"/>
      <c r="O574" s="149"/>
      <c r="P574" s="149"/>
      <c r="Q574" s="149"/>
      <c r="R574" s="149"/>
    </row>
    <row r="575" spans="14:18" ht="12.5">
      <c r="N575" s="149"/>
      <c r="O575" s="149"/>
      <c r="P575" s="149"/>
      <c r="Q575" s="149"/>
      <c r="R575" s="149"/>
    </row>
    <row r="576" spans="14:18" ht="12.5">
      <c r="N576" s="149"/>
      <c r="O576" s="149"/>
      <c r="P576" s="149"/>
      <c r="Q576" s="149"/>
      <c r="R576" s="149"/>
    </row>
    <row r="577" spans="14:18" ht="12.5">
      <c r="N577" s="149"/>
      <c r="O577" s="149"/>
      <c r="P577" s="149"/>
      <c r="Q577" s="149"/>
      <c r="R577" s="149"/>
    </row>
    <row r="578" spans="14:18" ht="12.5">
      <c r="N578" s="149"/>
      <c r="O578" s="149"/>
      <c r="P578" s="149"/>
      <c r="Q578" s="149"/>
      <c r="R578" s="149"/>
    </row>
    <row r="579" spans="14:18" ht="12.5">
      <c r="N579" s="149"/>
      <c r="O579" s="149"/>
      <c r="P579" s="149"/>
      <c r="Q579" s="149"/>
      <c r="R579" s="149"/>
    </row>
    <row r="580" spans="14:18" ht="12.5">
      <c r="N580" s="149"/>
      <c r="O580" s="149"/>
      <c r="P580" s="149"/>
      <c r="Q580" s="149"/>
      <c r="R580" s="149"/>
    </row>
    <row r="581" spans="14:18" ht="12.5">
      <c r="N581" s="149"/>
      <c r="O581" s="149"/>
      <c r="P581" s="149"/>
      <c r="Q581" s="149"/>
      <c r="R581" s="149"/>
    </row>
    <row r="582" spans="14:18" ht="12.5">
      <c r="N582" s="149"/>
      <c r="O582" s="149"/>
      <c r="P582" s="149"/>
      <c r="Q582" s="149"/>
      <c r="R582" s="149"/>
    </row>
    <row r="583" spans="14:18" ht="12.5">
      <c r="N583" s="149"/>
      <c r="O583" s="149"/>
      <c r="P583" s="149"/>
      <c r="Q583" s="149"/>
      <c r="R583" s="149"/>
    </row>
    <row r="584" spans="14:18" ht="12.5">
      <c r="N584" s="149"/>
      <c r="O584" s="149"/>
      <c r="P584" s="149"/>
      <c r="Q584" s="149"/>
      <c r="R584" s="149"/>
    </row>
    <row r="585" spans="14:18" ht="12.5">
      <c r="N585" s="149"/>
      <c r="O585" s="149"/>
      <c r="P585" s="149"/>
      <c r="Q585" s="149"/>
      <c r="R585" s="149"/>
    </row>
    <row r="586" spans="14:18" ht="12.5">
      <c r="N586" s="149"/>
      <c r="O586" s="149"/>
      <c r="P586" s="149"/>
      <c r="Q586" s="149"/>
      <c r="R586" s="149"/>
    </row>
    <row r="587" spans="14:18" ht="12.5">
      <c r="N587" s="149"/>
      <c r="O587" s="149"/>
      <c r="P587" s="149"/>
      <c r="Q587" s="149"/>
      <c r="R587" s="149"/>
    </row>
    <row r="588" spans="14:18" ht="12.5">
      <c r="N588" s="149"/>
      <c r="O588" s="149"/>
      <c r="P588" s="149"/>
      <c r="Q588" s="149"/>
      <c r="R588" s="149"/>
    </row>
    <row r="589" spans="14:18" ht="12.5">
      <c r="N589" s="149"/>
      <c r="O589" s="149"/>
      <c r="P589" s="149"/>
      <c r="Q589" s="149"/>
      <c r="R589" s="149"/>
    </row>
    <row r="590" spans="14:18" ht="12.5">
      <c r="N590" s="149"/>
      <c r="O590" s="149"/>
      <c r="P590" s="149"/>
      <c r="Q590" s="149"/>
      <c r="R590" s="149"/>
    </row>
    <row r="591" spans="14:18" ht="12.5">
      <c r="N591" s="149"/>
      <c r="O591" s="149"/>
      <c r="P591" s="149"/>
      <c r="Q591" s="149"/>
      <c r="R591" s="149"/>
    </row>
    <row r="592" spans="14:18" ht="12.5">
      <c r="N592" s="149"/>
      <c r="O592" s="149"/>
      <c r="P592" s="149"/>
      <c r="Q592" s="149"/>
      <c r="R592" s="149"/>
    </row>
    <row r="593" spans="14:18" ht="12.5">
      <c r="N593" s="149"/>
      <c r="O593" s="149"/>
      <c r="P593" s="149"/>
      <c r="Q593" s="149"/>
      <c r="R593" s="149"/>
    </row>
    <row r="594" spans="14:18" ht="12.5">
      <c r="N594" s="149"/>
      <c r="O594" s="149"/>
      <c r="P594" s="149"/>
      <c r="Q594" s="149"/>
      <c r="R594" s="149"/>
    </row>
    <row r="595" spans="14:18" ht="12.5">
      <c r="N595" s="149"/>
      <c r="O595" s="149"/>
      <c r="P595" s="149"/>
      <c r="Q595" s="149"/>
      <c r="R595" s="149"/>
    </row>
    <row r="596" spans="14:18" ht="12.5">
      <c r="N596" s="149"/>
      <c r="O596" s="149"/>
      <c r="P596" s="149"/>
      <c r="Q596" s="149"/>
      <c r="R596" s="149"/>
    </row>
    <row r="597" spans="14:18" ht="12.5">
      <c r="N597" s="149"/>
      <c r="O597" s="149"/>
      <c r="P597" s="149"/>
      <c r="Q597" s="149"/>
      <c r="R597" s="149"/>
    </row>
    <row r="598" spans="14:18" ht="12.5">
      <c r="N598" s="149"/>
      <c r="O598" s="149"/>
      <c r="P598" s="149"/>
      <c r="Q598" s="149"/>
      <c r="R598" s="149"/>
    </row>
    <row r="599" spans="14:18" ht="12.5">
      <c r="N599" s="149"/>
      <c r="O599" s="149"/>
      <c r="P599" s="149"/>
      <c r="Q599" s="149"/>
      <c r="R599" s="149"/>
    </row>
    <row r="600" spans="14:18" ht="12.5">
      <c r="N600" s="149"/>
      <c r="O600" s="149"/>
      <c r="P600" s="149"/>
      <c r="Q600" s="149"/>
      <c r="R600" s="149"/>
    </row>
    <row r="601" spans="14:18" ht="12.5">
      <c r="N601" s="149"/>
      <c r="O601" s="149"/>
      <c r="P601" s="149"/>
      <c r="Q601" s="149"/>
      <c r="R601" s="149"/>
    </row>
    <row r="602" spans="14:18" ht="12.5">
      <c r="N602" s="149"/>
      <c r="O602" s="149"/>
      <c r="P602" s="149"/>
      <c r="Q602" s="149"/>
      <c r="R602" s="149"/>
    </row>
    <row r="603" spans="14:18" ht="12.5">
      <c r="N603" s="149"/>
      <c r="O603" s="149"/>
      <c r="P603" s="149"/>
      <c r="Q603" s="149"/>
      <c r="R603" s="149"/>
    </row>
    <row r="604" spans="14:18" ht="12.5">
      <c r="N604" s="149"/>
      <c r="O604" s="149"/>
      <c r="P604" s="149"/>
      <c r="Q604" s="149"/>
      <c r="R604" s="149"/>
    </row>
    <row r="605" spans="14:18" ht="12.5">
      <c r="N605" s="149"/>
      <c r="O605" s="149"/>
      <c r="P605" s="149"/>
      <c r="Q605" s="149"/>
      <c r="R605" s="149"/>
    </row>
    <row r="606" spans="14:18" ht="12.5">
      <c r="N606" s="149"/>
      <c r="O606" s="149"/>
      <c r="P606" s="149"/>
      <c r="Q606" s="149"/>
      <c r="R606" s="149"/>
    </row>
    <row r="607" spans="14:18" ht="12.5">
      <c r="N607" s="149"/>
      <c r="O607" s="149"/>
      <c r="P607" s="149"/>
      <c r="Q607" s="149"/>
      <c r="R607" s="149"/>
    </row>
    <row r="608" spans="14:18" ht="12.5">
      <c r="N608" s="149"/>
      <c r="O608" s="149"/>
      <c r="P608" s="149"/>
      <c r="Q608" s="149"/>
      <c r="R608" s="149"/>
    </row>
    <row r="609" spans="14:18" ht="12.5">
      <c r="N609" s="149"/>
      <c r="O609" s="149"/>
      <c r="P609" s="149"/>
      <c r="Q609" s="149"/>
      <c r="R609" s="149"/>
    </row>
    <row r="610" spans="14:18" ht="12.5">
      <c r="N610" s="149"/>
      <c r="O610" s="149"/>
      <c r="P610" s="149"/>
      <c r="Q610" s="149"/>
      <c r="R610" s="149"/>
    </row>
    <row r="611" spans="14:18" ht="12.5">
      <c r="N611" s="149"/>
      <c r="O611" s="149"/>
      <c r="P611" s="149"/>
      <c r="Q611" s="149"/>
      <c r="R611" s="149"/>
    </row>
    <row r="612" spans="14:18" ht="12.5">
      <c r="N612" s="149"/>
      <c r="O612" s="149"/>
      <c r="P612" s="149"/>
      <c r="Q612" s="149"/>
      <c r="R612" s="149"/>
    </row>
    <row r="613" spans="14:18" ht="12.5">
      <c r="N613" s="149"/>
      <c r="O613" s="149"/>
      <c r="P613" s="149"/>
      <c r="Q613" s="149"/>
      <c r="R613" s="149"/>
    </row>
    <row r="614" spans="14:18" ht="12.5">
      <c r="N614" s="149"/>
      <c r="O614" s="149"/>
      <c r="P614" s="149"/>
      <c r="Q614" s="149"/>
      <c r="R614" s="149"/>
    </row>
    <row r="615" spans="14:18" ht="12.5">
      <c r="N615" s="149"/>
      <c r="O615" s="149"/>
      <c r="P615" s="149"/>
      <c r="Q615" s="149"/>
      <c r="R615" s="149"/>
    </row>
    <row r="616" spans="14:18" ht="12.5">
      <c r="N616" s="149"/>
      <c r="O616" s="149"/>
      <c r="P616" s="149"/>
      <c r="Q616" s="149"/>
      <c r="R616" s="149"/>
    </row>
    <row r="617" spans="14:18" ht="12.5">
      <c r="N617" s="149"/>
      <c r="O617" s="149"/>
      <c r="P617" s="149"/>
      <c r="Q617" s="149"/>
      <c r="R617" s="149"/>
    </row>
    <row r="618" spans="14:18" ht="12.5">
      <c r="N618" s="149"/>
      <c r="O618" s="149"/>
      <c r="P618" s="149"/>
      <c r="Q618" s="149"/>
      <c r="R618" s="149"/>
    </row>
    <row r="619" spans="14:18" ht="12.5">
      <c r="N619" s="149"/>
      <c r="O619" s="149"/>
      <c r="P619" s="149"/>
      <c r="Q619" s="149"/>
      <c r="R619" s="149"/>
    </row>
    <row r="620" spans="14:18" ht="12.5">
      <c r="N620" s="149"/>
      <c r="O620" s="149"/>
      <c r="P620" s="149"/>
      <c r="Q620" s="149"/>
      <c r="R620" s="149"/>
    </row>
    <row r="621" spans="14:18" ht="12.5">
      <c r="N621" s="149"/>
      <c r="O621" s="149"/>
      <c r="P621" s="149"/>
      <c r="Q621" s="149"/>
      <c r="R621" s="149"/>
    </row>
    <row r="622" spans="14:18" ht="12.5">
      <c r="N622" s="149"/>
      <c r="O622" s="149"/>
      <c r="P622" s="149"/>
      <c r="Q622" s="149"/>
      <c r="R622" s="149"/>
    </row>
    <row r="623" spans="14:18" ht="12.5">
      <c r="N623" s="149"/>
      <c r="O623" s="149"/>
      <c r="P623" s="149"/>
      <c r="Q623" s="149"/>
      <c r="R623" s="149"/>
    </row>
    <row r="624" spans="14:18" ht="12.5">
      <c r="N624" s="149"/>
      <c r="O624" s="149"/>
      <c r="P624" s="149"/>
      <c r="Q624" s="149"/>
      <c r="R624" s="149"/>
    </row>
    <row r="625" spans="14:18" ht="12.5">
      <c r="N625" s="149"/>
      <c r="O625" s="149"/>
      <c r="P625" s="149"/>
      <c r="Q625" s="149"/>
      <c r="R625" s="149"/>
    </row>
    <row r="626" spans="14:18" ht="12.5">
      <c r="N626" s="149"/>
      <c r="O626" s="149"/>
      <c r="P626" s="149"/>
      <c r="Q626" s="149"/>
      <c r="R626" s="149"/>
    </row>
    <row r="627" spans="14:18" ht="12.5">
      <c r="N627" s="149"/>
      <c r="O627" s="149"/>
      <c r="P627" s="149"/>
      <c r="Q627" s="149"/>
      <c r="R627" s="149"/>
    </row>
    <row r="628" spans="14:18" ht="12.5">
      <c r="N628" s="149"/>
      <c r="O628" s="149"/>
      <c r="P628" s="149"/>
      <c r="Q628" s="149"/>
      <c r="R628" s="149"/>
    </row>
    <row r="629" spans="14:18" ht="12.5">
      <c r="N629" s="149"/>
      <c r="O629" s="149"/>
      <c r="P629" s="149"/>
      <c r="Q629" s="149"/>
      <c r="R629" s="149"/>
    </row>
    <row r="630" spans="14:18" ht="12.5">
      <c r="N630" s="149"/>
      <c r="O630" s="149"/>
      <c r="P630" s="149"/>
      <c r="Q630" s="149"/>
      <c r="R630" s="149"/>
    </row>
    <row r="631" spans="14:18" ht="12.5">
      <c r="N631" s="149"/>
      <c r="O631" s="149"/>
      <c r="P631" s="149"/>
      <c r="Q631" s="149"/>
      <c r="R631" s="149"/>
    </row>
    <row r="632" spans="14:18" ht="12.5">
      <c r="N632" s="149"/>
      <c r="O632" s="149"/>
      <c r="P632" s="149"/>
      <c r="Q632" s="149"/>
      <c r="R632" s="149"/>
    </row>
    <row r="633" spans="14:18" ht="12.5">
      <c r="N633" s="149"/>
      <c r="O633" s="149"/>
      <c r="P633" s="149"/>
      <c r="Q633" s="149"/>
      <c r="R633" s="149"/>
    </row>
    <row r="634" spans="14:18" ht="12.5">
      <c r="N634" s="149"/>
      <c r="O634" s="149"/>
      <c r="P634" s="149"/>
      <c r="Q634" s="149"/>
      <c r="R634" s="149"/>
    </row>
    <row r="635" spans="14:18" ht="12.5">
      <c r="N635" s="149"/>
      <c r="O635" s="149"/>
      <c r="P635" s="149"/>
      <c r="Q635" s="149"/>
      <c r="R635" s="149"/>
    </row>
    <row r="636" spans="14:18" ht="12.5">
      <c r="N636" s="149"/>
      <c r="O636" s="149"/>
      <c r="P636" s="149"/>
      <c r="Q636" s="149"/>
      <c r="R636" s="149"/>
    </row>
    <row r="637" spans="14:18" ht="12.5">
      <c r="N637" s="149"/>
      <c r="O637" s="149"/>
      <c r="P637" s="149"/>
      <c r="Q637" s="149"/>
      <c r="R637" s="149"/>
    </row>
    <row r="638" spans="14:18" ht="12.5">
      <c r="N638" s="149"/>
      <c r="O638" s="149"/>
      <c r="P638" s="149"/>
      <c r="Q638" s="149"/>
      <c r="R638" s="149"/>
    </row>
    <row r="639" spans="14:18" ht="12.5">
      <c r="N639" s="149"/>
      <c r="O639" s="149"/>
      <c r="P639" s="149"/>
      <c r="Q639" s="149"/>
      <c r="R639" s="149"/>
    </row>
    <row r="640" spans="14:18" ht="12.5">
      <c r="N640" s="149"/>
      <c r="O640" s="149"/>
      <c r="P640" s="149"/>
      <c r="Q640" s="149"/>
      <c r="R640" s="149"/>
    </row>
    <row r="641" spans="14:18" ht="12.5">
      <c r="N641" s="149"/>
      <c r="O641" s="149"/>
      <c r="P641" s="149"/>
      <c r="Q641" s="149"/>
      <c r="R641" s="149"/>
    </row>
    <row r="642" spans="14:18" ht="12.5">
      <c r="N642" s="149"/>
      <c r="O642" s="149"/>
      <c r="P642" s="149"/>
      <c r="Q642" s="149"/>
      <c r="R642" s="149"/>
    </row>
    <row r="643" spans="14:18" ht="12.5">
      <c r="N643" s="149"/>
      <c r="O643" s="149"/>
      <c r="P643" s="149"/>
      <c r="Q643" s="149"/>
      <c r="R643" s="149"/>
    </row>
    <row r="644" spans="14:18" ht="12.5">
      <c r="N644" s="149"/>
      <c r="O644" s="149"/>
      <c r="P644" s="149"/>
      <c r="Q644" s="149"/>
      <c r="R644" s="149"/>
    </row>
    <row r="645" spans="14:18" ht="12.5">
      <c r="N645" s="149"/>
      <c r="O645" s="149"/>
      <c r="P645" s="149"/>
      <c r="Q645" s="149"/>
      <c r="R645" s="149"/>
    </row>
    <row r="646" spans="14:18" ht="12.5">
      <c r="N646" s="149"/>
      <c r="O646" s="149"/>
      <c r="P646" s="149"/>
      <c r="Q646" s="149"/>
      <c r="R646" s="149"/>
    </row>
    <row r="647" spans="14:18" ht="12.5">
      <c r="N647" s="149"/>
      <c r="O647" s="149"/>
      <c r="P647" s="149"/>
      <c r="Q647" s="149"/>
      <c r="R647" s="149"/>
    </row>
    <row r="648" spans="14:18" ht="12.5">
      <c r="N648" s="149"/>
      <c r="O648" s="149"/>
      <c r="P648" s="149"/>
      <c r="Q648" s="149"/>
      <c r="R648" s="149"/>
    </row>
    <row r="649" spans="14:18" ht="12.5">
      <c r="N649" s="149"/>
      <c r="O649" s="149"/>
      <c r="P649" s="149"/>
      <c r="Q649" s="149"/>
      <c r="R649" s="149"/>
    </row>
    <row r="650" spans="14:18" ht="12.5">
      <c r="N650" s="149"/>
      <c r="O650" s="149"/>
      <c r="P650" s="149"/>
      <c r="Q650" s="149"/>
      <c r="R650" s="149"/>
    </row>
    <row r="651" spans="14:18" ht="12.5">
      <c r="N651" s="149"/>
      <c r="O651" s="149"/>
      <c r="P651" s="149"/>
      <c r="Q651" s="149"/>
      <c r="R651" s="149"/>
    </row>
    <row r="652" spans="14:18" ht="12.5">
      <c r="N652" s="149"/>
      <c r="O652" s="149"/>
      <c r="P652" s="149"/>
      <c r="Q652" s="149"/>
      <c r="R652" s="149"/>
    </row>
    <row r="653" spans="14:18" ht="12.5">
      <c r="N653" s="149"/>
      <c r="O653" s="149"/>
      <c r="P653" s="149"/>
      <c r="Q653" s="149"/>
      <c r="R653" s="149"/>
    </row>
    <row r="654" spans="14:18" ht="12.5">
      <c r="N654" s="149"/>
      <c r="O654" s="149"/>
      <c r="P654" s="149"/>
      <c r="Q654" s="149"/>
      <c r="R654" s="149"/>
    </row>
    <row r="655" spans="14:18" ht="12.5">
      <c r="N655" s="149"/>
      <c r="O655" s="149"/>
      <c r="P655" s="149"/>
      <c r="Q655" s="149"/>
      <c r="R655" s="149"/>
    </row>
    <row r="656" spans="14:18" ht="12.5">
      <c r="N656" s="149"/>
      <c r="O656" s="149"/>
      <c r="P656" s="149"/>
      <c r="Q656" s="149"/>
      <c r="R656" s="149"/>
    </row>
    <row r="657" spans="14:18" ht="12.5">
      <c r="N657" s="149"/>
      <c r="O657" s="149"/>
      <c r="P657" s="149"/>
      <c r="Q657" s="149"/>
      <c r="R657" s="149"/>
    </row>
    <row r="658" spans="14:18" ht="12.5">
      <c r="N658" s="149"/>
      <c r="O658" s="149"/>
      <c r="P658" s="149"/>
      <c r="Q658" s="149"/>
      <c r="R658" s="149"/>
    </row>
    <row r="659" spans="14:18" ht="12.5">
      <c r="N659" s="149"/>
      <c r="O659" s="149"/>
      <c r="P659" s="149"/>
      <c r="Q659" s="149"/>
      <c r="R659" s="149"/>
    </row>
    <row r="660" spans="14:18" ht="12.5">
      <c r="N660" s="149"/>
      <c r="O660" s="149"/>
      <c r="P660" s="149"/>
      <c r="Q660" s="149"/>
      <c r="R660" s="149"/>
    </row>
    <row r="661" spans="14:18" ht="12.5">
      <c r="N661" s="149"/>
      <c r="O661" s="149"/>
      <c r="P661" s="149"/>
      <c r="Q661" s="149"/>
      <c r="R661" s="149"/>
    </row>
    <row r="662" spans="14:18" ht="12.5">
      <c r="N662" s="149"/>
      <c r="O662" s="149"/>
      <c r="P662" s="149"/>
      <c r="Q662" s="149"/>
      <c r="R662" s="149"/>
    </row>
    <row r="663" spans="14:18" ht="12.5">
      <c r="N663" s="149"/>
      <c r="O663" s="149"/>
      <c r="P663" s="149"/>
      <c r="Q663" s="149"/>
      <c r="R663" s="149"/>
    </row>
    <row r="664" spans="14:18" ht="12.5">
      <c r="N664" s="149"/>
      <c r="O664" s="149"/>
      <c r="P664" s="149"/>
      <c r="Q664" s="149"/>
      <c r="R664" s="149"/>
    </row>
    <row r="665" spans="14:18" ht="12.5">
      <c r="N665" s="149"/>
      <c r="O665" s="149"/>
      <c r="P665" s="149"/>
      <c r="Q665" s="149"/>
      <c r="R665" s="149"/>
    </row>
    <row r="666" spans="14:18" ht="12.5">
      <c r="N666" s="149"/>
      <c r="O666" s="149"/>
      <c r="P666" s="149"/>
      <c r="Q666" s="149"/>
      <c r="R666" s="149"/>
    </row>
    <row r="667" spans="14:18" ht="12.5">
      <c r="N667" s="149"/>
      <c r="O667" s="149"/>
      <c r="P667" s="149"/>
      <c r="Q667" s="149"/>
      <c r="R667" s="149"/>
    </row>
    <row r="668" spans="14:18" ht="12.5">
      <c r="N668" s="149"/>
      <c r="O668" s="149"/>
      <c r="P668" s="149"/>
      <c r="Q668" s="149"/>
      <c r="R668" s="149"/>
    </row>
    <row r="669" spans="14:18" ht="12.5">
      <c r="N669" s="149"/>
      <c r="O669" s="149"/>
      <c r="P669" s="149"/>
      <c r="Q669" s="149"/>
      <c r="R669" s="149"/>
    </row>
    <row r="670" spans="14:18" ht="12.5">
      <c r="N670" s="149"/>
      <c r="O670" s="149"/>
      <c r="P670" s="149"/>
      <c r="Q670" s="149"/>
      <c r="R670" s="149"/>
    </row>
    <row r="671" spans="14:18" ht="12.5">
      <c r="N671" s="149"/>
      <c r="O671" s="149"/>
      <c r="P671" s="149"/>
      <c r="Q671" s="149"/>
      <c r="R671" s="149"/>
    </row>
    <row r="672" spans="14:18" ht="12.5">
      <c r="N672" s="149"/>
      <c r="O672" s="149"/>
      <c r="P672" s="149"/>
      <c r="Q672" s="149"/>
      <c r="R672" s="149"/>
    </row>
    <row r="673" spans="14:18" ht="12.5">
      <c r="N673" s="149"/>
      <c r="O673" s="149"/>
      <c r="P673" s="149"/>
      <c r="Q673" s="149"/>
      <c r="R673" s="149"/>
    </row>
    <row r="674" spans="14:18" ht="12.5">
      <c r="N674" s="149"/>
      <c r="O674" s="149"/>
      <c r="P674" s="149"/>
      <c r="Q674" s="149"/>
      <c r="R674" s="149"/>
    </row>
    <row r="675" spans="14:18" ht="12.5">
      <c r="N675" s="149"/>
      <c r="O675" s="149"/>
      <c r="P675" s="149"/>
      <c r="Q675" s="149"/>
      <c r="R675" s="149"/>
    </row>
    <row r="676" spans="14:18" ht="12.5">
      <c r="N676" s="149"/>
      <c r="O676" s="149"/>
      <c r="P676" s="149"/>
      <c r="Q676" s="149"/>
      <c r="R676" s="149"/>
    </row>
    <row r="677" spans="14:18" ht="12.5">
      <c r="N677" s="149"/>
      <c r="O677" s="149"/>
      <c r="P677" s="149"/>
      <c r="Q677" s="149"/>
      <c r="R677" s="149"/>
    </row>
    <row r="678" spans="14:18" ht="12.5">
      <c r="N678" s="149"/>
      <c r="O678" s="149"/>
      <c r="P678" s="149"/>
      <c r="Q678" s="149"/>
      <c r="R678" s="149"/>
    </row>
    <row r="679" spans="14:18" ht="12.5">
      <c r="N679" s="149"/>
      <c r="O679" s="149"/>
      <c r="P679" s="149"/>
      <c r="Q679" s="149"/>
      <c r="R679" s="149"/>
    </row>
    <row r="680" spans="14:18" ht="12.5">
      <c r="N680" s="149"/>
      <c r="O680" s="149"/>
      <c r="P680" s="149"/>
      <c r="Q680" s="149"/>
      <c r="R680" s="149"/>
    </row>
    <row r="681" spans="14:18" ht="12.5">
      <c r="N681" s="149"/>
      <c r="O681" s="149"/>
      <c r="P681" s="149"/>
      <c r="Q681" s="149"/>
      <c r="R681" s="149"/>
    </row>
    <row r="682" spans="14:18" ht="12.5">
      <c r="N682" s="149"/>
      <c r="O682" s="149"/>
      <c r="P682" s="149"/>
      <c r="Q682" s="149"/>
      <c r="R682" s="149"/>
    </row>
    <row r="683" spans="14:18" ht="12.5">
      <c r="N683" s="149"/>
      <c r="O683" s="149"/>
      <c r="P683" s="149"/>
      <c r="Q683" s="149"/>
      <c r="R683" s="149"/>
    </row>
    <row r="684" spans="14:18" ht="12.5">
      <c r="N684" s="149"/>
      <c r="O684" s="149"/>
      <c r="P684" s="149"/>
      <c r="Q684" s="149"/>
      <c r="R684" s="149"/>
    </row>
    <row r="685" spans="14:18" ht="12.5">
      <c r="N685" s="149"/>
      <c r="O685" s="149"/>
      <c r="P685" s="149"/>
      <c r="Q685" s="149"/>
      <c r="R685" s="149"/>
    </row>
    <row r="686" spans="14:18" ht="12.5">
      <c r="N686" s="149"/>
      <c r="O686" s="149"/>
      <c r="P686" s="149"/>
      <c r="Q686" s="149"/>
      <c r="R686" s="149"/>
    </row>
    <row r="687" spans="14:18" ht="12.5">
      <c r="N687" s="149"/>
      <c r="O687" s="149"/>
      <c r="P687" s="149"/>
      <c r="Q687" s="149"/>
      <c r="R687" s="149"/>
    </row>
    <row r="688" spans="14:18" ht="12.5">
      <c r="N688" s="149"/>
      <c r="O688" s="149"/>
      <c r="P688" s="149"/>
      <c r="Q688" s="149"/>
      <c r="R688" s="149"/>
    </row>
    <row r="689" spans="14:18" ht="12.5">
      <c r="N689" s="149"/>
      <c r="O689" s="149"/>
      <c r="P689" s="149"/>
      <c r="Q689" s="149"/>
      <c r="R689" s="149"/>
    </row>
    <row r="690" spans="14:18" ht="12.5">
      <c r="N690" s="149"/>
      <c r="O690" s="149"/>
      <c r="P690" s="149"/>
      <c r="Q690" s="149"/>
      <c r="R690" s="149"/>
    </row>
    <row r="691" spans="14:18" ht="12.5">
      <c r="N691" s="149"/>
      <c r="O691" s="149"/>
      <c r="P691" s="149"/>
      <c r="Q691" s="149"/>
      <c r="R691" s="149"/>
    </row>
    <row r="692" spans="14:18" ht="12.5">
      <c r="N692" s="149"/>
      <c r="O692" s="149"/>
      <c r="P692" s="149"/>
      <c r="Q692" s="149"/>
      <c r="R692" s="149"/>
    </row>
    <row r="693" spans="14:18" ht="12.5">
      <c r="N693" s="149"/>
      <c r="O693" s="149"/>
      <c r="P693" s="149"/>
      <c r="Q693" s="149"/>
      <c r="R693" s="149"/>
    </row>
    <row r="694" spans="14:18" ht="12.5">
      <c r="N694" s="149"/>
      <c r="O694" s="149"/>
      <c r="P694" s="149"/>
      <c r="Q694" s="149"/>
      <c r="R694" s="149"/>
    </row>
    <row r="695" spans="14:18" ht="12.5">
      <c r="N695" s="149"/>
      <c r="O695" s="149"/>
      <c r="P695" s="149"/>
      <c r="Q695" s="149"/>
      <c r="R695" s="149"/>
    </row>
    <row r="696" spans="14:18" ht="12.5">
      <c r="N696" s="149"/>
      <c r="O696" s="149"/>
      <c r="P696" s="149"/>
      <c r="Q696" s="149"/>
      <c r="R696" s="149"/>
    </row>
    <row r="697" spans="14:18" ht="12.5">
      <c r="N697" s="149"/>
      <c r="O697" s="149"/>
      <c r="P697" s="149"/>
      <c r="Q697" s="149"/>
      <c r="R697" s="149"/>
    </row>
    <row r="698" spans="14:18" ht="12.5">
      <c r="N698" s="149"/>
      <c r="O698" s="149"/>
      <c r="P698" s="149"/>
      <c r="Q698" s="149"/>
      <c r="R698" s="149"/>
    </row>
    <row r="699" spans="14:18" ht="12.5">
      <c r="N699" s="149"/>
      <c r="O699" s="149"/>
      <c r="P699" s="149"/>
      <c r="Q699" s="149"/>
      <c r="R699" s="149"/>
    </row>
    <row r="700" spans="14:18" ht="12.5">
      <c r="N700" s="149"/>
      <c r="O700" s="149"/>
      <c r="P700" s="149"/>
      <c r="Q700" s="149"/>
      <c r="R700" s="149"/>
    </row>
    <row r="701" spans="14:18" ht="12.5">
      <c r="N701" s="149"/>
      <c r="O701" s="149"/>
      <c r="P701" s="149"/>
      <c r="Q701" s="149"/>
      <c r="R701" s="149"/>
    </row>
    <row r="702" spans="14:18" ht="12.5">
      <c r="N702" s="149"/>
      <c r="O702" s="149"/>
      <c r="P702" s="149"/>
      <c r="Q702" s="149"/>
      <c r="R702" s="149"/>
    </row>
    <row r="703" spans="14:18" ht="12.5">
      <c r="N703" s="149"/>
      <c r="O703" s="149"/>
      <c r="P703" s="149"/>
      <c r="Q703" s="149"/>
      <c r="R703" s="149"/>
    </row>
    <row r="704" spans="14:18" ht="12.5">
      <c r="N704" s="149"/>
      <c r="O704" s="149"/>
      <c r="P704" s="149"/>
      <c r="Q704" s="149"/>
      <c r="R704" s="149"/>
    </row>
    <row r="705" spans="14:18" ht="12.5">
      <c r="N705" s="149"/>
      <c r="O705" s="149"/>
      <c r="P705" s="149"/>
      <c r="Q705" s="149"/>
      <c r="R705" s="149"/>
    </row>
    <row r="706" spans="14:18" ht="12.5">
      <c r="N706" s="149"/>
      <c r="O706" s="149"/>
      <c r="P706" s="149"/>
      <c r="Q706" s="149"/>
      <c r="R706" s="149"/>
    </row>
    <row r="707" spans="14:18" ht="12.5">
      <c r="N707" s="149"/>
      <c r="O707" s="149"/>
      <c r="P707" s="149"/>
      <c r="Q707" s="149"/>
      <c r="R707" s="149"/>
    </row>
    <row r="708" spans="14:18" ht="12.5">
      <c r="N708" s="149"/>
      <c r="O708" s="149"/>
      <c r="P708" s="149"/>
      <c r="Q708" s="149"/>
      <c r="R708" s="149"/>
    </row>
    <row r="709" spans="14:18" ht="12.5">
      <c r="N709" s="149"/>
      <c r="O709" s="149"/>
      <c r="P709" s="149"/>
      <c r="Q709" s="149"/>
      <c r="R709" s="149"/>
    </row>
    <row r="710" spans="14:18" ht="12.5">
      <c r="N710" s="149"/>
      <c r="O710" s="149"/>
      <c r="P710" s="149"/>
      <c r="Q710" s="149"/>
      <c r="R710" s="149"/>
    </row>
    <row r="711" spans="14:18" ht="12.5">
      <c r="N711" s="149"/>
      <c r="O711" s="149"/>
      <c r="P711" s="149"/>
      <c r="Q711" s="149"/>
      <c r="R711" s="149"/>
    </row>
    <row r="712" spans="14:18" ht="12.5">
      <c r="N712" s="149"/>
      <c r="O712" s="149"/>
      <c r="P712" s="149"/>
      <c r="Q712" s="149"/>
      <c r="R712" s="149"/>
    </row>
    <row r="713" spans="14:18" ht="12.5">
      <c r="N713" s="149"/>
      <c r="O713" s="149"/>
      <c r="P713" s="149"/>
      <c r="Q713" s="149"/>
      <c r="R713" s="149"/>
    </row>
    <row r="714" spans="14:18" ht="12.5">
      <c r="N714" s="149"/>
      <c r="O714" s="149"/>
      <c r="P714" s="149"/>
      <c r="Q714" s="149"/>
      <c r="R714" s="149"/>
    </row>
    <row r="715" spans="14:18" ht="12.5">
      <c r="N715" s="149"/>
      <c r="O715" s="149"/>
      <c r="P715" s="149"/>
      <c r="Q715" s="149"/>
      <c r="R715" s="149"/>
    </row>
    <row r="716" spans="14:18" ht="12.5">
      <c r="N716" s="149"/>
      <c r="O716" s="149"/>
      <c r="P716" s="149"/>
      <c r="Q716" s="149"/>
      <c r="R716" s="149"/>
    </row>
    <row r="717" spans="14:18" ht="12.5">
      <c r="N717" s="149"/>
      <c r="O717" s="149"/>
      <c r="P717" s="149"/>
      <c r="Q717" s="149"/>
      <c r="R717" s="149"/>
    </row>
    <row r="718" spans="14:18" ht="12.5">
      <c r="N718" s="149"/>
      <c r="O718" s="149"/>
      <c r="P718" s="149"/>
      <c r="Q718" s="149"/>
      <c r="R718" s="149"/>
    </row>
    <row r="719" spans="14:18" ht="12.5">
      <c r="N719" s="149"/>
      <c r="O719" s="149"/>
      <c r="P719" s="149"/>
      <c r="Q719" s="149"/>
      <c r="R719" s="149"/>
    </row>
    <row r="720" spans="14:18" ht="12.5">
      <c r="N720" s="149"/>
      <c r="O720" s="149"/>
      <c r="P720" s="149"/>
      <c r="Q720" s="149"/>
      <c r="R720" s="149"/>
    </row>
    <row r="721" spans="14:18" ht="12.5">
      <c r="N721" s="149"/>
      <c r="O721" s="149"/>
      <c r="P721" s="149"/>
      <c r="Q721" s="149"/>
      <c r="R721" s="149"/>
    </row>
    <row r="722" spans="14:18" ht="12.5">
      <c r="N722" s="149"/>
      <c r="O722" s="149"/>
      <c r="P722" s="149"/>
      <c r="Q722" s="149"/>
      <c r="R722" s="149"/>
    </row>
    <row r="723" spans="14:18" ht="12.5">
      <c r="N723" s="149"/>
      <c r="O723" s="149"/>
      <c r="P723" s="149"/>
      <c r="Q723" s="149"/>
      <c r="R723" s="149"/>
    </row>
    <row r="724" spans="14:18" ht="12.5">
      <c r="N724" s="149"/>
      <c r="O724" s="149"/>
      <c r="P724" s="149"/>
      <c r="Q724" s="149"/>
      <c r="R724" s="149"/>
    </row>
    <row r="725" spans="14:18" ht="12.5">
      <c r="N725" s="149"/>
      <c r="O725" s="149"/>
      <c r="P725" s="149"/>
      <c r="Q725" s="149"/>
      <c r="R725" s="149"/>
    </row>
    <row r="726" spans="14:18" ht="12.5">
      <c r="N726" s="149"/>
      <c r="O726" s="149"/>
      <c r="P726" s="149"/>
      <c r="Q726" s="149"/>
      <c r="R726" s="149"/>
    </row>
    <row r="727" spans="14:18" ht="12.5">
      <c r="N727" s="149"/>
      <c r="O727" s="149"/>
      <c r="P727" s="149"/>
      <c r="Q727" s="149"/>
      <c r="R727" s="149"/>
    </row>
    <row r="728" spans="14:18" ht="12.5">
      <c r="N728" s="149"/>
      <c r="O728" s="149"/>
      <c r="P728" s="149"/>
      <c r="Q728" s="149"/>
      <c r="R728" s="149"/>
    </row>
    <row r="729" spans="14:18" ht="12.5">
      <c r="N729" s="149"/>
      <c r="O729" s="149"/>
      <c r="P729" s="149"/>
      <c r="Q729" s="149"/>
      <c r="R729" s="149"/>
    </row>
    <row r="730" spans="14:18" ht="12.5">
      <c r="N730" s="149"/>
      <c r="O730" s="149"/>
      <c r="P730" s="149"/>
      <c r="Q730" s="149"/>
      <c r="R730" s="149"/>
    </row>
    <row r="731" spans="14:18" ht="12.5">
      <c r="N731" s="149"/>
      <c r="O731" s="149"/>
      <c r="P731" s="149"/>
      <c r="Q731" s="149"/>
      <c r="R731" s="149"/>
    </row>
    <row r="732" spans="14:18" ht="12.5">
      <c r="N732" s="149"/>
      <c r="O732" s="149"/>
      <c r="P732" s="149"/>
      <c r="Q732" s="149"/>
      <c r="R732" s="149"/>
    </row>
    <row r="733" spans="14:18" ht="12.5">
      <c r="N733" s="149"/>
      <c r="O733" s="149"/>
      <c r="P733" s="149"/>
      <c r="Q733" s="149"/>
      <c r="R733" s="149"/>
    </row>
    <row r="734" spans="14:18" ht="12.5">
      <c r="N734" s="149"/>
      <c r="O734" s="149"/>
      <c r="P734" s="149"/>
      <c r="Q734" s="149"/>
      <c r="R734" s="149"/>
    </row>
    <row r="735" spans="14:18" ht="12.5">
      <c r="N735" s="149"/>
      <c r="O735" s="149"/>
      <c r="P735" s="149"/>
      <c r="Q735" s="149"/>
      <c r="R735" s="149"/>
    </row>
    <row r="736" spans="14:18" ht="12.5">
      <c r="N736" s="149"/>
      <c r="O736" s="149"/>
      <c r="P736" s="149"/>
      <c r="Q736" s="149"/>
      <c r="R736" s="149"/>
    </row>
    <row r="737" spans="14:18" ht="12.5">
      <c r="N737" s="149"/>
      <c r="O737" s="149"/>
      <c r="P737" s="149"/>
      <c r="Q737" s="149"/>
      <c r="R737" s="149"/>
    </row>
    <row r="738" spans="14:18" ht="12.5">
      <c r="N738" s="149"/>
      <c r="O738" s="149"/>
      <c r="P738" s="149"/>
      <c r="Q738" s="149"/>
      <c r="R738" s="149"/>
    </row>
    <row r="739" spans="14:18" ht="12.5">
      <c r="N739" s="149"/>
      <c r="O739" s="149"/>
      <c r="P739" s="149"/>
      <c r="Q739" s="149"/>
      <c r="R739" s="149"/>
    </row>
    <row r="740" spans="14:18" ht="12.5">
      <c r="N740" s="149"/>
      <c r="O740" s="149"/>
      <c r="P740" s="149"/>
      <c r="Q740" s="149"/>
      <c r="R740" s="149"/>
    </row>
    <row r="741" spans="14:18" ht="12.5">
      <c r="N741" s="149"/>
      <c r="O741" s="149"/>
      <c r="P741" s="149"/>
      <c r="Q741" s="149"/>
      <c r="R741" s="149"/>
    </row>
    <row r="742" spans="14:18" ht="12.5">
      <c r="N742" s="149"/>
      <c r="O742" s="149"/>
      <c r="P742" s="149"/>
      <c r="Q742" s="149"/>
      <c r="R742" s="149"/>
    </row>
    <row r="743" spans="14:18" ht="12.5">
      <c r="N743" s="149"/>
      <c r="O743" s="149"/>
      <c r="P743" s="149"/>
      <c r="Q743" s="149"/>
      <c r="R743" s="149"/>
    </row>
    <row r="744" spans="14:18" ht="12.5">
      <c r="N744" s="149"/>
      <c r="O744" s="149"/>
      <c r="P744" s="149"/>
      <c r="Q744" s="149"/>
      <c r="R744" s="149"/>
    </row>
    <row r="745" spans="14:18" ht="12.5">
      <c r="N745" s="149"/>
      <c r="O745" s="149"/>
      <c r="P745" s="149"/>
      <c r="Q745" s="149"/>
      <c r="R745" s="149"/>
    </row>
    <row r="746" spans="14:18" ht="12.5">
      <c r="N746" s="149"/>
      <c r="O746" s="149"/>
      <c r="P746" s="149"/>
      <c r="Q746" s="149"/>
      <c r="R746" s="149"/>
    </row>
    <row r="747" spans="14:18" ht="12.5">
      <c r="N747" s="149"/>
      <c r="O747" s="149"/>
      <c r="P747" s="149"/>
      <c r="Q747" s="149"/>
      <c r="R747" s="149"/>
    </row>
    <row r="748" spans="14:18" ht="12.5">
      <c r="N748" s="149"/>
      <c r="O748" s="149"/>
      <c r="P748" s="149"/>
      <c r="Q748" s="149"/>
      <c r="R748" s="149"/>
    </row>
    <row r="749" spans="14:18" ht="12.5">
      <c r="N749" s="149"/>
      <c r="O749" s="149"/>
      <c r="P749" s="149"/>
      <c r="Q749" s="149"/>
      <c r="R749" s="149"/>
    </row>
    <row r="750" spans="14:18" ht="12.5">
      <c r="N750" s="149"/>
      <c r="O750" s="149"/>
      <c r="P750" s="149"/>
      <c r="Q750" s="149"/>
      <c r="R750" s="149"/>
    </row>
    <row r="751" spans="14:18" ht="12.5">
      <c r="N751" s="149"/>
      <c r="O751" s="149"/>
      <c r="P751" s="149"/>
      <c r="Q751" s="149"/>
      <c r="R751" s="149"/>
    </row>
    <row r="752" spans="14:18" ht="12.5">
      <c r="N752" s="149"/>
      <c r="O752" s="149"/>
      <c r="P752" s="149"/>
      <c r="Q752" s="149"/>
      <c r="R752" s="149"/>
    </row>
    <row r="753" spans="14:18" ht="12.5">
      <c r="N753" s="149"/>
      <c r="O753" s="149"/>
      <c r="P753" s="149"/>
      <c r="Q753" s="149"/>
      <c r="R753" s="149"/>
    </row>
    <row r="754" spans="14:18" ht="12.5">
      <c r="N754" s="149"/>
      <c r="O754" s="149"/>
      <c r="P754" s="149"/>
      <c r="Q754" s="149"/>
      <c r="R754" s="149"/>
    </row>
    <row r="755" spans="14:18" ht="12.5">
      <c r="N755" s="149"/>
      <c r="O755" s="149"/>
      <c r="P755" s="149"/>
      <c r="Q755" s="149"/>
      <c r="R755" s="149"/>
    </row>
    <row r="756" spans="14:18" ht="12.5">
      <c r="N756" s="149"/>
      <c r="O756" s="149"/>
      <c r="P756" s="149"/>
      <c r="Q756" s="149"/>
      <c r="R756" s="149"/>
    </row>
    <row r="757" spans="14:18" ht="12.5">
      <c r="N757" s="149"/>
      <c r="O757" s="149"/>
      <c r="P757" s="149"/>
      <c r="Q757" s="149"/>
      <c r="R757" s="149"/>
    </row>
    <row r="758" spans="14:18" ht="12.5">
      <c r="N758" s="149"/>
      <c r="O758" s="149"/>
      <c r="P758" s="149"/>
      <c r="Q758" s="149"/>
      <c r="R758" s="149"/>
    </row>
    <row r="759" spans="14:18" ht="12.5">
      <c r="N759" s="149"/>
      <c r="O759" s="149"/>
      <c r="P759" s="149"/>
      <c r="Q759" s="149"/>
      <c r="R759" s="149"/>
    </row>
    <row r="760" spans="14:18" ht="12.5">
      <c r="N760" s="149"/>
      <c r="O760" s="149"/>
      <c r="P760" s="149"/>
      <c r="Q760" s="149"/>
      <c r="R760" s="149"/>
    </row>
    <row r="761" spans="14:18" ht="12.5">
      <c r="N761" s="149"/>
      <c r="O761" s="149"/>
      <c r="P761" s="149"/>
      <c r="Q761" s="149"/>
      <c r="R761" s="149"/>
    </row>
    <row r="762" spans="14:18" ht="12.5">
      <c r="N762" s="149"/>
      <c r="O762" s="149"/>
      <c r="P762" s="149"/>
      <c r="Q762" s="149"/>
      <c r="R762" s="149"/>
    </row>
    <row r="763" spans="14:18" ht="12.5">
      <c r="N763" s="149"/>
      <c r="O763" s="149"/>
      <c r="P763" s="149"/>
      <c r="Q763" s="149"/>
      <c r="R763" s="149"/>
    </row>
    <row r="764" spans="14:18" ht="12.5">
      <c r="N764" s="149"/>
      <c r="O764" s="149"/>
      <c r="P764" s="149"/>
      <c r="Q764" s="149"/>
      <c r="R764" s="149"/>
    </row>
    <row r="765" spans="14:18" ht="12.5">
      <c r="N765" s="149"/>
      <c r="O765" s="149"/>
      <c r="P765" s="149"/>
      <c r="Q765" s="149"/>
      <c r="R765" s="149"/>
    </row>
    <row r="766" spans="14:18" ht="12.5">
      <c r="N766" s="149"/>
      <c r="O766" s="149"/>
      <c r="P766" s="149"/>
      <c r="Q766" s="149"/>
      <c r="R766" s="149"/>
    </row>
    <row r="767" spans="14:18" ht="12.5">
      <c r="N767" s="149"/>
      <c r="O767" s="149"/>
      <c r="P767" s="149"/>
      <c r="Q767" s="149"/>
      <c r="R767" s="149"/>
    </row>
    <row r="768" spans="14:18" ht="12.5">
      <c r="N768" s="149"/>
      <c r="O768" s="149"/>
      <c r="P768" s="149"/>
      <c r="Q768" s="149"/>
      <c r="R768" s="149"/>
    </row>
    <row r="769" spans="14:18" ht="12.5">
      <c r="N769" s="149"/>
      <c r="O769" s="149"/>
      <c r="P769" s="149"/>
      <c r="Q769" s="149"/>
      <c r="R769" s="149"/>
    </row>
    <row r="770" spans="14:18" ht="12.5">
      <c r="N770" s="149"/>
      <c r="O770" s="149"/>
      <c r="P770" s="149"/>
      <c r="Q770" s="149"/>
      <c r="R770" s="149"/>
    </row>
    <row r="771" spans="14:18" ht="12.5">
      <c r="N771" s="149"/>
      <c r="O771" s="149"/>
      <c r="P771" s="149"/>
      <c r="Q771" s="149"/>
      <c r="R771" s="149"/>
    </row>
    <row r="772" spans="14:18" ht="12.5">
      <c r="N772" s="149"/>
      <c r="O772" s="149"/>
      <c r="P772" s="149"/>
      <c r="Q772" s="149"/>
      <c r="R772" s="149"/>
    </row>
    <row r="773" spans="14:18" ht="12.5">
      <c r="N773" s="149"/>
      <c r="O773" s="149"/>
      <c r="P773" s="149"/>
      <c r="Q773" s="149"/>
      <c r="R773" s="149"/>
    </row>
    <row r="774" spans="14:18" ht="12.5">
      <c r="N774" s="149"/>
      <c r="O774" s="149"/>
      <c r="P774" s="149"/>
      <c r="Q774" s="149"/>
      <c r="R774" s="149"/>
    </row>
    <row r="775" spans="14:18" ht="12.5">
      <c r="N775" s="149"/>
      <c r="O775" s="149"/>
      <c r="P775" s="149"/>
      <c r="Q775" s="149"/>
      <c r="R775" s="149"/>
    </row>
    <row r="776" spans="14:18" ht="12.5">
      <c r="N776" s="149"/>
      <c r="O776" s="149"/>
      <c r="P776" s="149"/>
      <c r="Q776" s="149"/>
      <c r="R776" s="149"/>
    </row>
    <row r="777" spans="14:18" ht="12.5">
      <c r="N777" s="149"/>
      <c r="O777" s="149"/>
      <c r="P777" s="149"/>
      <c r="Q777" s="149"/>
      <c r="R777" s="149"/>
    </row>
    <row r="778" spans="14:18" ht="12.5">
      <c r="N778" s="149"/>
      <c r="O778" s="149"/>
      <c r="P778" s="149"/>
      <c r="Q778" s="149"/>
      <c r="R778" s="149"/>
    </row>
    <row r="779" spans="14:18" ht="12.5">
      <c r="N779" s="149"/>
      <c r="O779" s="149"/>
      <c r="P779" s="149"/>
      <c r="Q779" s="149"/>
      <c r="R779" s="149"/>
    </row>
    <row r="780" spans="14:18" ht="12.5">
      <c r="N780" s="149"/>
      <c r="O780" s="149"/>
      <c r="P780" s="149"/>
      <c r="Q780" s="149"/>
      <c r="R780" s="149"/>
    </row>
    <row r="781" spans="14:18" ht="12.5">
      <c r="N781" s="149"/>
      <c r="O781" s="149"/>
      <c r="P781" s="149"/>
      <c r="Q781" s="149"/>
      <c r="R781" s="149"/>
    </row>
    <row r="782" spans="14:18" ht="12.5">
      <c r="N782" s="149"/>
      <c r="O782" s="149"/>
      <c r="P782" s="149"/>
      <c r="Q782" s="149"/>
      <c r="R782" s="149"/>
    </row>
    <row r="783" spans="14:18" ht="12.5">
      <c r="N783" s="149"/>
      <c r="O783" s="149"/>
      <c r="P783" s="149"/>
      <c r="Q783" s="149"/>
      <c r="R783" s="149"/>
    </row>
    <row r="784" spans="14:18" ht="12.5">
      <c r="N784" s="149"/>
      <c r="O784" s="149"/>
      <c r="P784" s="149"/>
      <c r="Q784" s="149"/>
      <c r="R784" s="149"/>
    </row>
    <row r="785" spans="14:18" ht="12.5">
      <c r="N785" s="149"/>
      <c r="O785" s="149"/>
      <c r="P785" s="149"/>
      <c r="Q785" s="149"/>
      <c r="R785" s="149"/>
    </row>
    <row r="786" spans="14:18" ht="12.5">
      <c r="N786" s="149"/>
      <c r="O786" s="149"/>
      <c r="P786" s="149"/>
      <c r="Q786" s="149"/>
      <c r="R786" s="149"/>
    </row>
    <row r="787" spans="14:18" ht="12.5">
      <c r="N787" s="149"/>
      <c r="O787" s="149"/>
      <c r="P787" s="149"/>
      <c r="Q787" s="149"/>
      <c r="R787" s="149"/>
    </row>
    <row r="788" spans="14:18" ht="12.5">
      <c r="N788" s="149"/>
      <c r="O788" s="149"/>
      <c r="P788" s="149"/>
      <c r="Q788" s="149"/>
      <c r="R788" s="149"/>
    </row>
    <row r="789" spans="14:18" ht="12.5">
      <c r="N789" s="149"/>
      <c r="O789" s="149"/>
      <c r="P789" s="149"/>
      <c r="Q789" s="149"/>
      <c r="R789" s="149"/>
    </row>
    <row r="790" spans="14:18" ht="12.5">
      <c r="N790" s="149"/>
      <c r="O790" s="149"/>
      <c r="P790" s="149"/>
      <c r="Q790" s="149"/>
      <c r="R790" s="149"/>
    </row>
    <row r="791" spans="14:18" ht="12.5">
      <c r="N791" s="149"/>
      <c r="O791" s="149"/>
      <c r="P791" s="149"/>
      <c r="Q791" s="149"/>
      <c r="R791" s="149"/>
    </row>
    <row r="792" spans="14:18" ht="12.5">
      <c r="N792" s="149"/>
      <c r="O792" s="149"/>
      <c r="P792" s="149"/>
      <c r="Q792" s="149"/>
      <c r="R792" s="149"/>
    </row>
    <row r="793" spans="14:18" ht="12.5">
      <c r="N793" s="149"/>
      <c r="O793" s="149"/>
      <c r="P793" s="149"/>
      <c r="Q793" s="149"/>
      <c r="R793" s="149"/>
    </row>
    <row r="794" spans="14:18" ht="12.5">
      <c r="N794" s="149"/>
      <c r="O794" s="149"/>
      <c r="P794" s="149"/>
      <c r="Q794" s="149"/>
      <c r="R794" s="149"/>
    </row>
    <row r="795" spans="14:18" ht="12.5">
      <c r="N795" s="149"/>
      <c r="O795" s="149"/>
      <c r="P795" s="149"/>
      <c r="Q795" s="149"/>
      <c r="R795" s="149"/>
    </row>
    <row r="796" spans="14:18" ht="12.5">
      <c r="N796" s="149"/>
      <c r="O796" s="149"/>
      <c r="P796" s="149"/>
      <c r="Q796" s="149"/>
      <c r="R796" s="149"/>
    </row>
    <row r="797" spans="14:18" ht="12.5">
      <c r="N797" s="149"/>
      <c r="O797" s="149"/>
      <c r="P797" s="149"/>
      <c r="Q797" s="149"/>
      <c r="R797" s="149"/>
    </row>
    <row r="798" spans="14:18" ht="12.5">
      <c r="N798" s="149"/>
      <c r="O798" s="149"/>
      <c r="P798" s="149"/>
      <c r="Q798" s="149"/>
      <c r="R798" s="149"/>
    </row>
    <row r="799" spans="14:18" ht="12.5">
      <c r="N799" s="149"/>
      <c r="O799" s="149"/>
      <c r="P799" s="149"/>
      <c r="Q799" s="149"/>
      <c r="R799" s="149"/>
    </row>
    <row r="800" spans="14:18" ht="12.5">
      <c r="N800" s="149"/>
      <c r="O800" s="149"/>
      <c r="P800" s="149"/>
      <c r="Q800" s="149"/>
      <c r="R800" s="149"/>
    </row>
    <row r="801" spans="14:18" ht="12.5">
      <c r="N801" s="149"/>
      <c r="O801" s="149"/>
      <c r="P801" s="149"/>
      <c r="Q801" s="149"/>
      <c r="R801" s="149"/>
    </row>
    <row r="802" spans="14:18" ht="12.5">
      <c r="N802" s="149"/>
      <c r="O802" s="149"/>
      <c r="P802" s="149"/>
      <c r="Q802" s="149"/>
      <c r="R802" s="149"/>
    </row>
    <row r="803" spans="14:18" ht="12.5">
      <c r="N803" s="149"/>
      <c r="O803" s="149"/>
      <c r="P803" s="149"/>
      <c r="Q803" s="149"/>
      <c r="R803" s="149"/>
    </row>
    <row r="804" spans="14:18" ht="12.5">
      <c r="N804" s="149"/>
      <c r="O804" s="149"/>
      <c r="P804" s="149"/>
      <c r="Q804" s="149"/>
      <c r="R804" s="149"/>
    </row>
    <row r="805" spans="14:18" ht="12.5">
      <c r="N805" s="149"/>
      <c r="O805" s="149"/>
      <c r="P805" s="149"/>
      <c r="Q805" s="149"/>
      <c r="R805" s="149"/>
    </row>
    <row r="806" spans="14:18" ht="12.5">
      <c r="N806" s="149"/>
      <c r="O806" s="149"/>
      <c r="P806" s="149"/>
      <c r="Q806" s="149"/>
      <c r="R806" s="149"/>
    </row>
    <row r="807" spans="14:18" ht="12.5">
      <c r="N807" s="149"/>
      <c r="O807" s="149"/>
      <c r="P807" s="149"/>
      <c r="Q807" s="149"/>
      <c r="R807" s="149"/>
    </row>
    <row r="808" spans="14:18" ht="12.5">
      <c r="N808" s="149"/>
      <c r="O808" s="149"/>
      <c r="P808" s="149"/>
      <c r="Q808" s="149"/>
      <c r="R808" s="149"/>
    </row>
    <row r="809" spans="14:18" ht="12.5">
      <c r="N809" s="149"/>
      <c r="O809" s="149"/>
      <c r="P809" s="149"/>
      <c r="Q809" s="149"/>
      <c r="R809" s="149"/>
    </row>
    <row r="810" spans="14:18" ht="12.5">
      <c r="N810" s="149"/>
      <c r="O810" s="149"/>
      <c r="P810" s="149"/>
      <c r="Q810" s="149"/>
      <c r="R810" s="149"/>
    </row>
    <row r="811" spans="14:18" ht="12.5">
      <c r="N811" s="149"/>
      <c r="O811" s="149"/>
      <c r="P811" s="149"/>
      <c r="Q811" s="149"/>
      <c r="R811" s="149"/>
    </row>
    <row r="812" spans="14:18" ht="12.5">
      <c r="N812" s="149"/>
      <c r="O812" s="149"/>
      <c r="P812" s="149"/>
      <c r="Q812" s="149"/>
      <c r="R812" s="149"/>
    </row>
    <row r="813" spans="14:18" ht="12.5">
      <c r="N813" s="149"/>
      <c r="O813" s="149"/>
      <c r="P813" s="149"/>
      <c r="Q813" s="149"/>
      <c r="R813" s="149"/>
    </row>
    <row r="814" spans="14:18" ht="12.5">
      <c r="N814" s="149"/>
      <c r="O814" s="149"/>
      <c r="P814" s="149"/>
      <c r="Q814" s="149"/>
      <c r="R814" s="149"/>
    </row>
    <row r="815" spans="14:18" ht="12.5">
      <c r="N815" s="149"/>
      <c r="O815" s="149"/>
      <c r="P815" s="149"/>
      <c r="Q815" s="149"/>
      <c r="R815" s="149"/>
    </row>
    <row r="816" spans="14:18" ht="12.5">
      <c r="N816" s="149"/>
      <c r="O816" s="149"/>
      <c r="P816" s="149"/>
      <c r="Q816" s="149"/>
      <c r="R816" s="149"/>
    </row>
    <row r="817" spans="14:18" ht="12.5">
      <c r="N817" s="149"/>
      <c r="O817" s="149"/>
      <c r="P817" s="149"/>
      <c r="Q817" s="149"/>
      <c r="R817" s="149"/>
    </row>
    <row r="818" spans="14:18" ht="12.5">
      <c r="N818" s="149"/>
      <c r="O818" s="149"/>
      <c r="P818" s="149"/>
      <c r="Q818" s="149"/>
      <c r="R818" s="149"/>
    </row>
    <row r="819" spans="14:18" ht="12.5">
      <c r="N819" s="149"/>
      <c r="O819" s="149"/>
      <c r="P819" s="149"/>
      <c r="Q819" s="149"/>
      <c r="R819" s="149"/>
    </row>
    <row r="820" spans="14:18" ht="12.5">
      <c r="N820" s="149"/>
      <c r="O820" s="149"/>
      <c r="P820" s="149"/>
      <c r="Q820" s="149"/>
      <c r="R820" s="149"/>
    </row>
    <row r="821" spans="14:18" ht="12.5">
      <c r="N821" s="149"/>
      <c r="O821" s="149"/>
      <c r="P821" s="149"/>
      <c r="Q821" s="149"/>
      <c r="R821" s="149"/>
    </row>
    <row r="822" spans="14:18" ht="12.5">
      <c r="N822" s="149"/>
      <c r="O822" s="149"/>
      <c r="P822" s="149"/>
      <c r="Q822" s="149"/>
      <c r="R822" s="149"/>
    </row>
    <row r="823" spans="14:18" ht="12.5">
      <c r="N823" s="149"/>
      <c r="O823" s="149"/>
      <c r="P823" s="149"/>
      <c r="Q823" s="149"/>
      <c r="R823" s="149"/>
    </row>
    <row r="824" spans="14:18" ht="12.5">
      <c r="N824" s="149"/>
      <c r="O824" s="149"/>
      <c r="P824" s="149"/>
      <c r="Q824" s="149"/>
      <c r="R824" s="149"/>
    </row>
    <row r="825" spans="14:18" ht="12.5">
      <c r="N825" s="149"/>
      <c r="O825" s="149"/>
      <c r="P825" s="149"/>
      <c r="Q825" s="149"/>
      <c r="R825" s="149"/>
    </row>
    <row r="826" spans="14:18" ht="12.5">
      <c r="N826" s="149"/>
      <c r="O826" s="149"/>
      <c r="P826" s="149"/>
      <c r="Q826" s="149"/>
      <c r="R826" s="149"/>
    </row>
    <row r="827" spans="14:18" ht="12.5">
      <c r="N827" s="149"/>
      <c r="O827" s="149"/>
      <c r="P827" s="149"/>
      <c r="Q827" s="149"/>
      <c r="R827" s="149"/>
    </row>
    <row r="828" spans="14:18" ht="12.5">
      <c r="N828" s="149"/>
      <c r="O828" s="149"/>
      <c r="P828" s="149"/>
      <c r="Q828" s="149"/>
      <c r="R828" s="149"/>
    </row>
    <row r="829" spans="14:18" ht="12.5">
      <c r="N829" s="149"/>
      <c r="O829" s="149"/>
      <c r="P829" s="149"/>
      <c r="Q829" s="149"/>
      <c r="R829" s="149"/>
    </row>
    <row r="830" spans="14:18" ht="12.5">
      <c r="N830" s="149"/>
      <c r="O830" s="149"/>
      <c r="P830" s="149"/>
      <c r="Q830" s="149"/>
      <c r="R830" s="149"/>
    </row>
    <row r="831" spans="14:18" ht="12.5">
      <c r="N831" s="149"/>
      <c r="O831" s="149"/>
      <c r="P831" s="149"/>
      <c r="Q831" s="149"/>
      <c r="R831" s="149"/>
    </row>
    <row r="832" spans="14:18" ht="12.5">
      <c r="N832" s="149"/>
      <c r="O832" s="149"/>
      <c r="P832" s="149"/>
      <c r="Q832" s="149"/>
      <c r="R832" s="149"/>
    </row>
    <row r="833" spans="14:18" ht="12.5">
      <c r="N833" s="149"/>
      <c r="O833" s="149"/>
      <c r="P833" s="149"/>
      <c r="Q833" s="149"/>
      <c r="R833" s="149"/>
    </row>
    <row r="834" spans="14:18" ht="12.5">
      <c r="N834" s="149"/>
      <c r="O834" s="149"/>
      <c r="P834" s="149"/>
      <c r="Q834" s="149"/>
      <c r="R834" s="149"/>
    </row>
    <row r="835" spans="14:18" ht="12.5">
      <c r="N835" s="149"/>
      <c r="O835" s="149"/>
      <c r="P835" s="149"/>
      <c r="Q835" s="149"/>
      <c r="R835" s="149"/>
    </row>
    <row r="836" spans="14:18" ht="12.5">
      <c r="N836" s="149"/>
      <c r="O836" s="149"/>
      <c r="P836" s="149"/>
      <c r="Q836" s="149"/>
      <c r="R836" s="149"/>
    </row>
    <row r="837" spans="14:18" ht="12.5">
      <c r="N837" s="149"/>
      <c r="O837" s="149"/>
      <c r="P837" s="149"/>
      <c r="Q837" s="149"/>
      <c r="R837" s="149"/>
    </row>
    <row r="838" spans="14:18" ht="12.5">
      <c r="N838" s="149"/>
      <c r="O838" s="149"/>
      <c r="P838" s="149"/>
      <c r="Q838" s="149"/>
      <c r="R838" s="149"/>
    </row>
    <row r="839" spans="14:18" ht="12.5">
      <c r="N839" s="149"/>
      <c r="O839" s="149"/>
      <c r="P839" s="149"/>
      <c r="Q839" s="149"/>
      <c r="R839" s="149"/>
    </row>
    <row r="840" spans="14:18" ht="12.5">
      <c r="N840" s="149"/>
      <c r="O840" s="149"/>
      <c r="P840" s="149"/>
      <c r="Q840" s="149"/>
      <c r="R840" s="149"/>
    </row>
    <row r="841" spans="14:18" ht="12.5">
      <c r="N841" s="149"/>
      <c r="O841" s="149"/>
      <c r="P841" s="149"/>
      <c r="Q841" s="149"/>
      <c r="R841" s="149"/>
    </row>
    <row r="842" spans="14:18" ht="12.5">
      <c r="N842" s="149"/>
      <c r="O842" s="149"/>
      <c r="P842" s="149"/>
      <c r="Q842" s="149"/>
      <c r="R842" s="149"/>
    </row>
    <row r="843" spans="14:18" ht="12.5">
      <c r="N843" s="149"/>
      <c r="O843" s="149"/>
      <c r="P843" s="149"/>
      <c r="Q843" s="149"/>
      <c r="R843" s="149"/>
    </row>
    <row r="844" spans="14:18" ht="12.5">
      <c r="N844" s="149"/>
      <c r="O844" s="149"/>
      <c r="P844" s="149"/>
      <c r="Q844" s="149"/>
      <c r="R844" s="149"/>
    </row>
    <row r="845" spans="14:18" ht="12.5">
      <c r="N845" s="149"/>
      <c r="O845" s="149"/>
      <c r="P845" s="149"/>
      <c r="Q845" s="149"/>
      <c r="R845" s="149"/>
    </row>
    <row r="846" spans="14:18" ht="12.5">
      <c r="N846" s="149"/>
      <c r="O846" s="149"/>
      <c r="P846" s="149"/>
      <c r="Q846" s="149"/>
      <c r="R846" s="149"/>
    </row>
    <row r="847" spans="14:18" ht="12.5">
      <c r="N847" s="149"/>
      <c r="O847" s="149"/>
      <c r="P847" s="149"/>
      <c r="Q847" s="149"/>
      <c r="R847" s="149"/>
    </row>
    <row r="848" spans="14:18" ht="12.5">
      <c r="N848" s="149"/>
      <c r="O848" s="149"/>
      <c r="P848" s="149"/>
      <c r="Q848" s="149"/>
      <c r="R848" s="149"/>
    </row>
    <row r="849" spans="14:18" ht="12.5">
      <c r="N849" s="149"/>
      <c r="O849" s="149"/>
      <c r="P849" s="149"/>
      <c r="Q849" s="149"/>
      <c r="R849" s="149"/>
    </row>
    <row r="850" spans="14:18" ht="12.5">
      <c r="N850" s="149"/>
      <c r="O850" s="149"/>
      <c r="P850" s="149"/>
      <c r="Q850" s="149"/>
      <c r="R850" s="149"/>
    </row>
    <row r="851" spans="14:18" ht="12.5">
      <c r="N851" s="149"/>
      <c r="O851" s="149"/>
      <c r="P851" s="149"/>
      <c r="Q851" s="149"/>
      <c r="R851" s="149"/>
    </row>
    <row r="852" spans="14:18" ht="12.5">
      <c r="N852" s="149"/>
      <c r="O852" s="149"/>
      <c r="P852" s="149"/>
      <c r="Q852" s="149"/>
      <c r="R852" s="149"/>
    </row>
    <row r="853" spans="14:18" ht="12.5">
      <c r="N853" s="149"/>
      <c r="O853" s="149"/>
      <c r="P853" s="149"/>
      <c r="Q853" s="149"/>
      <c r="R853" s="149"/>
    </row>
    <row r="854" spans="14:18" ht="12.5">
      <c r="N854" s="149"/>
      <c r="O854" s="149"/>
      <c r="P854" s="149"/>
      <c r="Q854" s="149"/>
      <c r="R854" s="149"/>
    </row>
    <row r="855" spans="14:18" ht="12.5">
      <c r="N855" s="149"/>
      <c r="O855" s="149"/>
      <c r="P855" s="149"/>
      <c r="Q855" s="149"/>
      <c r="R855" s="149"/>
    </row>
    <row r="856" spans="14:18" ht="12.5">
      <c r="N856" s="149"/>
      <c r="O856" s="149"/>
      <c r="P856" s="149"/>
      <c r="Q856" s="149"/>
      <c r="R856" s="149"/>
    </row>
    <row r="857" spans="14:18" ht="12.5">
      <c r="N857" s="149"/>
      <c r="O857" s="149"/>
      <c r="P857" s="149"/>
      <c r="Q857" s="149"/>
      <c r="R857" s="149"/>
    </row>
    <row r="858" spans="14:18" ht="12.5">
      <c r="N858" s="149"/>
      <c r="O858" s="149"/>
      <c r="P858" s="149"/>
      <c r="Q858" s="149"/>
      <c r="R858" s="149"/>
    </row>
    <row r="859" spans="14:18" ht="12.5">
      <c r="N859" s="149"/>
      <c r="O859" s="149"/>
      <c r="P859" s="149"/>
      <c r="Q859" s="149"/>
      <c r="R859" s="149"/>
    </row>
    <row r="860" spans="14:18" ht="12.5">
      <c r="N860" s="149"/>
      <c r="O860" s="149"/>
      <c r="P860" s="149"/>
      <c r="Q860" s="149"/>
      <c r="R860" s="149"/>
    </row>
    <row r="861" spans="14:18" ht="12.5">
      <c r="N861" s="149"/>
      <c r="O861" s="149"/>
      <c r="P861" s="149"/>
      <c r="Q861" s="149"/>
      <c r="R861" s="149"/>
    </row>
    <row r="862" spans="14:18" ht="12.5">
      <c r="N862" s="149"/>
      <c r="O862" s="149"/>
      <c r="P862" s="149"/>
      <c r="Q862" s="149"/>
      <c r="R862" s="149"/>
    </row>
    <row r="863" spans="14:18" ht="12.5">
      <c r="N863" s="149"/>
      <c r="O863" s="149"/>
      <c r="P863" s="149"/>
      <c r="Q863" s="149"/>
      <c r="R863" s="149"/>
    </row>
    <row r="864" spans="14:18" ht="12.5">
      <c r="N864" s="149"/>
      <c r="O864" s="149"/>
      <c r="P864" s="149"/>
      <c r="Q864" s="149"/>
      <c r="R864" s="149"/>
    </row>
    <row r="865" spans="14:18" ht="12.5">
      <c r="N865" s="149"/>
      <c r="O865" s="149"/>
      <c r="P865" s="149"/>
      <c r="Q865" s="149"/>
      <c r="R865" s="149"/>
    </row>
    <row r="866" spans="14:18" ht="12.5">
      <c r="N866" s="149"/>
      <c r="O866" s="149"/>
      <c r="P866" s="149"/>
      <c r="Q866" s="149"/>
      <c r="R866" s="149"/>
    </row>
    <row r="867" spans="14:18" ht="12.5">
      <c r="N867" s="149"/>
      <c r="O867" s="149"/>
      <c r="P867" s="149"/>
      <c r="Q867" s="149"/>
      <c r="R867" s="149"/>
    </row>
    <row r="868" spans="14:18" ht="12.5">
      <c r="N868" s="149"/>
      <c r="O868" s="149"/>
      <c r="P868" s="149"/>
      <c r="Q868" s="149"/>
      <c r="R868" s="149"/>
    </row>
    <row r="869" spans="14:18" ht="12.5">
      <c r="N869" s="149"/>
      <c r="O869" s="149"/>
      <c r="P869" s="149"/>
      <c r="Q869" s="149"/>
      <c r="R869" s="149"/>
    </row>
    <row r="870" spans="14:18" ht="12.5">
      <c r="N870" s="149"/>
      <c r="O870" s="149"/>
      <c r="P870" s="149"/>
      <c r="Q870" s="149"/>
      <c r="R870" s="149"/>
    </row>
    <row r="871" spans="14:18" ht="12.5">
      <c r="N871" s="149"/>
      <c r="O871" s="149"/>
      <c r="P871" s="149"/>
      <c r="Q871" s="149"/>
      <c r="R871" s="149"/>
    </row>
    <row r="872" spans="14:18" ht="12.5">
      <c r="N872" s="149"/>
      <c r="O872" s="149"/>
      <c r="P872" s="149"/>
      <c r="Q872" s="149"/>
      <c r="R872" s="149"/>
    </row>
    <row r="873" spans="14:18" ht="12.5">
      <c r="N873" s="149"/>
      <c r="O873" s="149"/>
      <c r="P873" s="149"/>
      <c r="Q873" s="149"/>
      <c r="R873" s="149"/>
    </row>
    <row r="874" spans="14:18" ht="12.5">
      <c r="N874" s="149"/>
      <c r="O874" s="149"/>
      <c r="P874" s="149"/>
      <c r="Q874" s="149"/>
      <c r="R874" s="149"/>
    </row>
    <row r="875" spans="14:18" ht="12.5">
      <c r="N875" s="149"/>
      <c r="O875" s="149"/>
      <c r="P875" s="149"/>
      <c r="Q875" s="149"/>
      <c r="R875" s="149"/>
    </row>
    <row r="876" spans="14:18" ht="12.5">
      <c r="N876" s="149"/>
      <c r="O876" s="149"/>
      <c r="P876" s="149"/>
      <c r="Q876" s="149"/>
      <c r="R876" s="149"/>
    </row>
    <row r="877" spans="14:18" ht="12.5">
      <c r="N877" s="149"/>
      <c r="O877" s="149"/>
      <c r="P877" s="149"/>
      <c r="Q877" s="149"/>
      <c r="R877" s="149"/>
    </row>
    <row r="878" spans="14:18" ht="12.5">
      <c r="N878" s="149"/>
      <c r="O878" s="149"/>
      <c r="P878" s="149"/>
      <c r="Q878" s="149"/>
      <c r="R878" s="149"/>
    </row>
    <row r="879" spans="14:18" ht="12.5">
      <c r="N879" s="149"/>
      <c r="O879" s="149"/>
      <c r="P879" s="149"/>
      <c r="Q879" s="149"/>
      <c r="R879" s="149"/>
    </row>
    <row r="880" spans="14:18" ht="12.5">
      <c r="N880" s="149"/>
      <c r="O880" s="149"/>
      <c r="P880" s="149"/>
      <c r="Q880" s="149"/>
      <c r="R880" s="149"/>
    </row>
    <row r="881" spans="14:18" ht="12.5">
      <c r="N881" s="149"/>
      <c r="O881" s="149"/>
      <c r="P881" s="149"/>
      <c r="Q881" s="149"/>
      <c r="R881" s="149"/>
    </row>
    <row r="882" spans="14:18" ht="12.5">
      <c r="N882" s="149"/>
      <c r="O882" s="149"/>
      <c r="P882" s="149"/>
      <c r="Q882" s="149"/>
      <c r="R882" s="149"/>
    </row>
    <row r="883" spans="14:18" ht="12.5">
      <c r="N883" s="149"/>
      <c r="O883" s="149"/>
      <c r="P883" s="149"/>
      <c r="Q883" s="149"/>
      <c r="R883" s="149"/>
    </row>
    <row r="884" spans="14:18" ht="12.5">
      <c r="N884" s="149"/>
      <c r="O884" s="149"/>
      <c r="P884" s="149"/>
      <c r="Q884" s="149"/>
      <c r="R884" s="149"/>
    </row>
    <row r="885" spans="14:18" ht="12.5">
      <c r="N885" s="149"/>
      <c r="O885" s="149"/>
      <c r="P885" s="149"/>
      <c r="Q885" s="149"/>
      <c r="R885" s="149"/>
    </row>
    <row r="886" spans="14:18" ht="12.5">
      <c r="N886" s="149"/>
      <c r="O886" s="149"/>
      <c r="P886" s="149"/>
      <c r="Q886" s="149"/>
      <c r="R886" s="149"/>
    </row>
    <row r="887" spans="14:18" ht="12.5">
      <c r="N887" s="149"/>
      <c r="O887" s="149"/>
      <c r="P887" s="149"/>
      <c r="Q887" s="149"/>
      <c r="R887" s="149"/>
    </row>
    <row r="888" spans="14:18" ht="12.5">
      <c r="N888" s="149"/>
      <c r="O888" s="149"/>
      <c r="P888" s="149"/>
      <c r="Q888" s="149"/>
      <c r="R888" s="149"/>
    </row>
    <row r="889" spans="14:18" ht="12.5">
      <c r="N889" s="149"/>
      <c r="O889" s="149"/>
      <c r="P889" s="149"/>
      <c r="Q889" s="149"/>
      <c r="R889" s="149"/>
    </row>
    <row r="890" spans="14:18" ht="12.5">
      <c r="N890" s="149"/>
      <c r="O890" s="149"/>
      <c r="P890" s="149"/>
      <c r="Q890" s="149"/>
      <c r="R890" s="149"/>
    </row>
    <row r="891" spans="14:18" ht="12.5">
      <c r="N891" s="149"/>
      <c r="O891" s="149"/>
      <c r="P891" s="149"/>
      <c r="Q891" s="149"/>
      <c r="R891" s="149"/>
    </row>
    <row r="892" spans="14:18" ht="12.5">
      <c r="N892" s="149"/>
      <c r="O892" s="149"/>
      <c r="P892" s="149"/>
      <c r="Q892" s="149"/>
      <c r="R892" s="149"/>
    </row>
    <row r="893" spans="14:18" ht="12.5">
      <c r="N893" s="149"/>
      <c r="O893" s="149"/>
      <c r="P893" s="149"/>
      <c r="Q893" s="149"/>
      <c r="R893" s="149"/>
    </row>
    <row r="894" spans="14:18" ht="12.5">
      <c r="N894" s="149"/>
      <c r="O894" s="149"/>
      <c r="P894" s="149"/>
      <c r="Q894" s="149"/>
      <c r="R894" s="149"/>
    </row>
    <row r="895" spans="14:18" ht="12.5">
      <c r="N895" s="149"/>
      <c r="O895" s="149"/>
      <c r="P895" s="149"/>
      <c r="Q895" s="149"/>
      <c r="R895" s="149"/>
    </row>
    <row r="896" spans="14:18" ht="12.5">
      <c r="N896" s="149"/>
      <c r="O896" s="149"/>
      <c r="P896" s="149"/>
      <c r="Q896" s="149"/>
      <c r="R896" s="149"/>
    </row>
    <row r="897" spans="14:18" ht="12.5">
      <c r="N897" s="149"/>
      <c r="O897" s="149"/>
      <c r="P897" s="149"/>
      <c r="Q897" s="149"/>
      <c r="R897" s="149"/>
    </row>
    <row r="898" spans="14:18" ht="12.5">
      <c r="N898" s="149"/>
      <c r="O898" s="149"/>
      <c r="P898" s="149"/>
      <c r="Q898" s="149"/>
      <c r="R898" s="149"/>
    </row>
    <row r="899" spans="14:18" ht="12.5">
      <c r="N899" s="149"/>
      <c r="O899" s="149"/>
      <c r="P899" s="149"/>
      <c r="Q899" s="149"/>
      <c r="R899" s="149"/>
    </row>
    <row r="900" spans="14:18" ht="12.5">
      <c r="N900" s="149"/>
      <c r="O900" s="149"/>
      <c r="P900" s="149"/>
      <c r="Q900" s="149"/>
      <c r="R900" s="149"/>
    </row>
    <row r="901" spans="14:18" ht="12.5">
      <c r="N901" s="149"/>
      <c r="O901" s="149"/>
      <c r="P901" s="149"/>
      <c r="Q901" s="149"/>
      <c r="R901" s="149"/>
    </row>
    <row r="902" spans="14:18" ht="12.5">
      <c r="N902" s="149"/>
      <c r="O902" s="149"/>
      <c r="P902" s="149"/>
      <c r="Q902" s="149"/>
      <c r="R902" s="149"/>
    </row>
    <row r="903" spans="14:18" ht="12.5">
      <c r="N903" s="149"/>
      <c r="O903" s="149"/>
      <c r="P903" s="149"/>
      <c r="Q903" s="149"/>
      <c r="R903" s="149"/>
    </row>
    <row r="904" spans="14:18" ht="12.5">
      <c r="N904" s="149"/>
      <c r="O904" s="149"/>
      <c r="P904" s="149"/>
      <c r="Q904" s="149"/>
      <c r="R904" s="149"/>
    </row>
    <row r="905" spans="14:18" ht="12.5">
      <c r="N905" s="149"/>
      <c r="O905" s="149"/>
      <c r="P905" s="149"/>
      <c r="Q905" s="149"/>
      <c r="R905" s="149"/>
    </row>
    <row r="906" spans="14:18" ht="12.5">
      <c r="N906" s="149"/>
      <c r="O906" s="149"/>
      <c r="P906" s="149"/>
      <c r="Q906" s="149"/>
      <c r="R906" s="149"/>
    </row>
    <row r="907" spans="14:18" ht="12.5">
      <c r="N907" s="149"/>
      <c r="O907" s="149"/>
      <c r="P907" s="149"/>
      <c r="Q907" s="149"/>
      <c r="R907" s="149"/>
    </row>
    <row r="908" spans="14:18" ht="12.5">
      <c r="N908" s="149"/>
      <c r="O908" s="149"/>
      <c r="P908" s="149"/>
      <c r="Q908" s="149"/>
      <c r="R908" s="149"/>
    </row>
    <row r="909" spans="14:18" ht="12.5">
      <c r="N909" s="149"/>
      <c r="O909" s="149"/>
      <c r="P909" s="149"/>
      <c r="Q909" s="149"/>
      <c r="R909" s="149"/>
    </row>
    <row r="910" spans="14:18" ht="12.5">
      <c r="N910" s="149"/>
      <c r="O910" s="149"/>
      <c r="P910" s="149"/>
      <c r="Q910" s="149"/>
      <c r="R910" s="149"/>
    </row>
    <row r="911" spans="14:18" ht="12.5">
      <c r="N911" s="149"/>
      <c r="O911" s="149"/>
      <c r="P911" s="149"/>
      <c r="Q911" s="149"/>
      <c r="R911" s="149"/>
    </row>
    <row r="912" spans="14:18" ht="12.5">
      <c r="N912" s="149"/>
      <c r="O912" s="149"/>
      <c r="P912" s="149"/>
      <c r="Q912" s="149"/>
      <c r="R912" s="149"/>
    </row>
    <row r="913" spans="14:18" ht="12.5">
      <c r="N913" s="149"/>
      <c r="O913" s="149"/>
      <c r="P913" s="149"/>
      <c r="Q913" s="149"/>
      <c r="R913" s="149"/>
    </row>
    <row r="914" spans="14:18" ht="12.5">
      <c r="N914" s="149"/>
      <c r="O914" s="149"/>
      <c r="P914" s="149"/>
      <c r="Q914" s="149"/>
      <c r="R914" s="149"/>
    </row>
    <row r="915" spans="14:18" ht="12.5">
      <c r="N915" s="149"/>
      <c r="O915" s="149"/>
      <c r="P915" s="149"/>
      <c r="Q915" s="149"/>
      <c r="R915" s="149"/>
    </row>
    <row r="916" spans="14:18" ht="12.5">
      <c r="N916" s="149"/>
      <c r="O916" s="149"/>
      <c r="P916" s="149"/>
      <c r="Q916" s="149"/>
      <c r="R916" s="149"/>
    </row>
    <row r="917" spans="14:18" ht="12.5">
      <c r="N917" s="149"/>
      <c r="O917" s="149"/>
      <c r="P917" s="149"/>
      <c r="Q917" s="149"/>
      <c r="R917" s="149"/>
    </row>
    <row r="918" spans="14:18" ht="12.5">
      <c r="N918" s="149"/>
      <c r="O918" s="149"/>
      <c r="P918" s="149"/>
      <c r="Q918" s="149"/>
      <c r="R918" s="149"/>
    </row>
    <row r="919" spans="14:18" ht="12.5">
      <c r="N919" s="149"/>
      <c r="O919" s="149"/>
      <c r="P919" s="149"/>
      <c r="Q919" s="149"/>
      <c r="R919" s="149"/>
    </row>
    <row r="920" spans="14:18" ht="12.5">
      <c r="N920" s="149"/>
      <c r="O920" s="149"/>
      <c r="P920" s="149"/>
      <c r="Q920" s="149"/>
      <c r="R920" s="149"/>
    </row>
    <row r="921" spans="14:18" ht="12.5">
      <c r="N921" s="149"/>
      <c r="O921" s="149"/>
      <c r="P921" s="149"/>
      <c r="Q921" s="149"/>
      <c r="R921" s="149"/>
    </row>
    <row r="922" spans="14:18" ht="12.5">
      <c r="N922" s="149"/>
      <c r="O922" s="149"/>
      <c r="P922" s="149"/>
      <c r="Q922" s="149"/>
      <c r="R922" s="149"/>
    </row>
    <row r="923" spans="14:18" ht="12.5">
      <c r="N923" s="149"/>
      <c r="O923" s="149"/>
      <c r="P923" s="149"/>
      <c r="Q923" s="149"/>
      <c r="R923" s="149"/>
    </row>
    <row r="924" spans="14:18" ht="12.5">
      <c r="N924" s="149"/>
      <c r="O924" s="149"/>
      <c r="P924" s="149"/>
      <c r="Q924" s="149"/>
      <c r="R924" s="149"/>
    </row>
    <row r="925" spans="14:18" ht="12.5">
      <c r="N925" s="149"/>
      <c r="O925" s="149"/>
      <c r="P925" s="149"/>
      <c r="Q925" s="149"/>
      <c r="R925" s="149"/>
    </row>
    <row r="926" spans="14:18" ht="12.5">
      <c r="N926" s="149"/>
      <c r="O926" s="149"/>
      <c r="P926" s="149"/>
      <c r="Q926" s="149"/>
      <c r="R926" s="149"/>
    </row>
    <row r="927" spans="14:18" ht="12.5">
      <c r="N927" s="149"/>
      <c r="O927" s="149"/>
      <c r="P927" s="149"/>
      <c r="Q927" s="149"/>
      <c r="R927" s="149"/>
    </row>
    <row r="928" spans="14:18" ht="12.5">
      <c r="N928" s="149"/>
      <c r="O928" s="149"/>
      <c r="P928" s="149"/>
      <c r="Q928" s="149"/>
      <c r="R928" s="149"/>
    </row>
    <row r="929" spans="14:18" ht="12.5">
      <c r="N929" s="149"/>
      <c r="O929" s="149"/>
      <c r="P929" s="149"/>
      <c r="Q929" s="149"/>
      <c r="R929" s="149"/>
    </row>
    <row r="930" spans="14:18" ht="12.5">
      <c r="N930" s="149"/>
      <c r="O930" s="149"/>
      <c r="P930" s="149"/>
      <c r="Q930" s="149"/>
      <c r="R930" s="149"/>
    </row>
    <row r="931" spans="14:18" ht="12.5">
      <c r="N931" s="149"/>
      <c r="O931" s="149"/>
      <c r="P931" s="149"/>
      <c r="Q931" s="149"/>
      <c r="R931" s="149"/>
    </row>
    <row r="932" spans="14:18" ht="12.5">
      <c r="N932" s="149"/>
      <c r="O932" s="149"/>
      <c r="P932" s="149"/>
      <c r="Q932" s="149"/>
      <c r="R932" s="149"/>
    </row>
    <row r="933" spans="14:18" ht="12.5">
      <c r="N933" s="149"/>
      <c r="O933" s="149"/>
      <c r="P933" s="149"/>
      <c r="Q933" s="149"/>
      <c r="R933" s="149"/>
    </row>
    <row r="934" spans="14:18" ht="12.5">
      <c r="N934" s="149"/>
      <c r="O934" s="149"/>
      <c r="P934" s="149"/>
      <c r="Q934" s="149"/>
      <c r="R934" s="149"/>
    </row>
    <row r="935" spans="14:18" ht="12.5">
      <c r="N935" s="149"/>
      <c r="O935" s="149"/>
      <c r="P935" s="149"/>
      <c r="Q935" s="149"/>
      <c r="R935" s="149"/>
    </row>
    <row r="936" spans="14:18" ht="12.5">
      <c r="N936" s="149"/>
      <c r="O936" s="149"/>
      <c r="P936" s="149"/>
      <c r="Q936" s="149"/>
      <c r="R936" s="149"/>
    </row>
    <row r="937" spans="14:18" ht="12.5">
      <c r="N937" s="149"/>
      <c r="O937" s="149"/>
      <c r="P937" s="149"/>
      <c r="Q937" s="149"/>
      <c r="R937" s="149"/>
    </row>
    <row r="938" spans="14:18" ht="12.5">
      <c r="N938" s="149"/>
      <c r="O938" s="149"/>
      <c r="P938" s="149"/>
      <c r="Q938" s="149"/>
      <c r="R938" s="149"/>
    </row>
    <row r="939" spans="14:18" ht="12.5">
      <c r="N939" s="149"/>
      <c r="O939" s="149"/>
      <c r="P939" s="149"/>
      <c r="Q939" s="149"/>
      <c r="R939" s="149"/>
    </row>
    <row r="940" spans="14:18" ht="12.5">
      <c r="N940" s="149"/>
      <c r="O940" s="149"/>
      <c r="P940" s="149"/>
      <c r="Q940" s="149"/>
      <c r="R940" s="149"/>
    </row>
    <row r="941" spans="14:18" ht="12.5">
      <c r="N941" s="149"/>
      <c r="O941" s="149"/>
      <c r="P941" s="149"/>
      <c r="Q941" s="149"/>
      <c r="R941" s="149"/>
    </row>
    <row r="942" spans="14:18" ht="12.5">
      <c r="N942" s="149"/>
      <c r="O942" s="149"/>
      <c r="P942" s="149"/>
      <c r="Q942" s="149"/>
      <c r="R942" s="149"/>
    </row>
    <row r="943" spans="14:18" ht="12.5">
      <c r="N943" s="149"/>
      <c r="O943" s="149"/>
      <c r="P943" s="149"/>
      <c r="Q943" s="149"/>
      <c r="R943" s="149"/>
    </row>
    <row r="944" spans="14:18" ht="12.5">
      <c r="N944" s="149"/>
      <c r="O944" s="149"/>
      <c r="P944" s="149"/>
      <c r="Q944" s="149"/>
      <c r="R944" s="149"/>
    </row>
    <row r="945" spans="14:18" ht="12.5">
      <c r="N945" s="149"/>
      <c r="O945" s="149"/>
      <c r="P945" s="149"/>
      <c r="Q945" s="149"/>
      <c r="R945" s="149"/>
    </row>
    <row r="946" spans="14:18" ht="12.5">
      <c r="N946" s="149"/>
      <c r="O946" s="149"/>
      <c r="P946" s="149"/>
      <c r="Q946" s="149"/>
      <c r="R946" s="149"/>
    </row>
    <row r="947" spans="14:18" ht="12.5">
      <c r="N947" s="149"/>
      <c r="O947" s="149"/>
      <c r="P947" s="149"/>
      <c r="Q947" s="149"/>
      <c r="R947" s="149"/>
    </row>
    <row r="948" spans="14:18" ht="12.5">
      <c r="N948" s="149"/>
      <c r="O948" s="149"/>
      <c r="P948" s="149"/>
      <c r="Q948" s="149"/>
      <c r="R948" s="149"/>
    </row>
    <row r="949" spans="14:18" ht="12.5">
      <c r="N949" s="149"/>
      <c r="O949" s="149"/>
      <c r="P949" s="149"/>
      <c r="Q949" s="149"/>
      <c r="R949" s="149"/>
    </row>
    <row r="950" spans="14:18" ht="12.5">
      <c r="N950" s="149"/>
      <c r="O950" s="149"/>
      <c r="P950" s="149"/>
      <c r="Q950" s="149"/>
      <c r="R950" s="149"/>
    </row>
    <row r="951" spans="14:18" ht="12.5">
      <c r="N951" s="149"/>
      <c r="O951" s="149"/>
      <c r="P951" s="149"/>
      <c r="Q951" s="149"/>
      <c r="R951" s="149"/>
    </row>
    <row r="952" spans="14:18" ht="12.5">
      <c r="N952" s="149"/>
      <c r="O952" s="149"/>
      <c r="P952" s="149"/>
      <c r="Q952" s="149"/>
      <c r="R952" s="149"/>
    </row>
    <row r="953" spans="14:18" ht="12.5">
      <c r="N953" s="149"/>
      <c r="O953" s="149"/>
      <c r="P953" s="149"/>
      <c r="Q953" s="149"/>
      <c r="R953" s="149"/>
    </row>
    <row r="954" spans="14:18" ht="12.5">
      <c r="N954" s="149"/>
      <c r="O954" s="149"/>
      <c r="P954" s="149"/>
      <c r="Q954" s="149"/>
      <c r="R954" s="149"/>
    </row>
    <row r="955" spans="14:18" ht="12.5">
      <c r="N955" s="149"/>
      <c r="O955" s="149"/>
      <c r="P955" s="149"/>
      <c r="Q955" s="149"/>
      <c r="R955" s="149"/>
    </row>
    <row r="956" spans="14:18" ht="12.5">
      <c r="N956" s="149"/>
      <c r="O956" s="149"/>
      <c r="P956" s="149"/>
      <c r="Q956" s="149"/>
      <c r="R956" s="149"/>
    </row>
    <row r="957" spans="14:18" ht="12.5">
      <c r="N957" s="149"/>
      <c r="O957" s="149"/>
      <c r="P957" s="149"/>
      <c r="Q957" s="149"/>
      <c r="R957" s="149"/>
    </row>
    <row r="958" spans="14:18" ht="12.5">
      <c r="N958" s="149"/>
      <c r="O958" s="149"/>
      <c r="P958" s="149"/>
      <c r="Q958" s="149"/>
      <c r="R958" s="149"/>
    </row>
    <row r="959" spans="14:18" ht="12.5">
      <c r="N959" s="149"/>
      <c r="O959" s="149"/>
      <c r="P959" s="149"/>
      <c r="Q959" s="149"/>
      <c r="R959" s="149"/>
    </row>
    <row r="960" spans="14:18" ht="12.5">
      <c r="N960" s="149"/>
      <c r="O960" s="149"/>
      <c r="P960" s="149"/>
      <c r="Q960" s="149"/>
      <c r="R960" s="149"/>
    </row>
    <row r="961" spans="14:18" ht="12.5">
      <c r="N961" s="149"/>
      <c r="O961" s="149"/>
      <c r="P961" s="149"/>
      <c r="Q961" s="149"/>
      <c r="R961" s="149"/>
    </row>
    <row r="962" spans="14:18" ht="12.5">
      <c r="N962" s="149"/>
      <c r="O962" s="149"/>
      <c r="P962" s="149"/>
      <c r="Q962" s="149"/>
      <c r="R962" s="149"/>
    </row>
    <row r="963" spans="14:18" ht="12.5">
      <c r="N963" s="149"/>
      <c r="O963" s="149"/>
      <c r="P963" s="149"/>
      <c r="Q963" s="149"/>
      <c r="R963" s="149"/>
    </row>
    <row r="964" spans="14:18" ht="12.5">
      <c r="N964" s="149"/>
      <c r="O964" s="149"/>
      <c r="P964" s="149"/>
      <c r="Q964" s="149"/>
      <c r="R964" s="149"/>
    </row>
    <row r="965" spans="14:18" ht="12.5">
      <c r="N965" s="149"/>
      <c r="O965" s="149"/>
      <c r="P965" s="149"/>
      <c r="Q965" s="149"/>
      <c r="R965" s="149"/>
    </row>
    <row r="966" spans="14:18" ht="12.5">
      <c r="N966" s="149"/>
      <c r="O966" s="149"/>
      <c r="P966" s="149"/>
      <c r="Q966" s="149"/>
      <c r="R966" s="149"/>
    </row>
    <row r="967" spans="14:18" ht="12.5">
      <c r="N967" s="149"/>
      <c r="O967" s="149"/>
      <c r="P967" s="149"/>
      <c r="Q967" s="149"/>
      <c r="R967" s="149"/>
    </row>
    <row r="968" spans="14:18" ht="12.5">
      <c r="N968" s="149"/>
      <c r="O968" s="149"/>
      <c r="P968" s="149"/>
      <c r="Q968" s="149"/>
      <c r="R968" s="149"/>
    </row>
    <row r="969" spans="14:18" ht="12.5">
      <c r="N969" s="149"/>
      <c r="O969" s="149"/>
      <c r="P969" s="149"/>
      <c r="Q969" s="149"/>
      <c r="R969" s="149"/>
    </row>
    <row r="970" spans="14:18" ht="12.5">
      <c r="N970" s="149"/>
      <c r="O970" s="149"/>
      <c r="P970" s="149"/>
      <c r="Q970" s="149"/>
      <c r="R970" s="149"/>
    </row>
    <row r="971" spans="14:18" ht="12.5">
      <c r="N971" s="149"/>
      <c r="O971" s="149"/>
      <c r="P971" s="149"/>
      <c r="Q971" s="149"/>
      <c r="R971" s="149"/>
    </row>
    <row r="972" spans="14:18" ht="12.5">
      <c r="N972" s="149"/>
      <c r="O972" s="149"/>
      <c r="P972" s="149"/>
      <c r="Q972" s="149"/>
      <c r="R972" s="149"/>
    </row>
    <row r="973" spans="14:18" ht="12.5">
      <c r="N973" s="149"/>
      <c r="O973" s="149"/>
      <c r="P973" s="149"/>
      <c r="Q973" s="149"/>
      <c r="R973" s="149"/>
    </row>
    <row r="974" spans="14:18" ht="12.5">
      <c r="N974" s="149"/>
      <c r="O974" s="149"/>
      <c r="P974" s="149"/>
      <c r="Q974" s="149"/>
      <c r="R974" s="149"/>
    </row>
    <row r="975" spans="14:18" ht="12.5">
      <c r="N975" s="149"/>
      <c r="O975" s="149"/>
      <c r="P975" s="149"/>
      <c r="Q975" s="149"/>
      <c r="R975" s="149"/>
    </row>
    <row r="976" spans="14:18" ht="12.5">
      <c r="N976" s="149"/>
      <c r="O976" s="149"/>
      <c r="P976" s="149"/>
      <c r="Q976" s="149"/>
      <c r="R976" s="149"/>
    </row>
    <row r="977" spans="14:18" ht="12.5">
      <c r="N977" s="149"/>
      <c r="O977" s="149"/>
      <c r="P977" s="149"/>
      <c r="Q977" s="149"/>
      <c r="R977" s="149"/>
    </row>
    <row r="978" spans="14:18" ht="12.5">
      <c r="N978" s="149"/>
      <c r="O978" s="149"/>
      <c r="P978" s="149"/>
      <c r="Q978" s="149"/>
      <c r="R978" s="149"/>
    </row>
    <row r="979" spans="14:18" ht="12.5">
      <c r="N979" s="149"/>
      <c r="O979" s="149"/>
      <c r="P979" s="149"/>
      <c r="Q979" s="149"/>
      <c r="R979" s="149"/>
    </row>
    <row r="980" spans="14:18" ht="12.5">
      <c r="N980" s="149"/>
      <c r="O980" s="149"/>
      <c r="P980" s="149"/>
      <c r="Q980" s="149"/>
      <c r="R980" s="149"/>
    </row>
    <row r="981" spans="14:18" ht="12.5">
      <c r="N981" s="149"/>
      <c r="O981" s="149"/>
      <c r="P981" s="149"/>
      <c r="Q981" s="149"/>
      <c r="R981" s="149"/>
    </row>
    <row r="982" spans="14:18" ht="12.5">
      <c r="N982" s="149"/>
      <c r="O982" s="149"/>
      <c r="P982" s="149"/>
      <c r="Q982" s="149"/>
      <c r="R982" s="149"/>
    </row>
    <row r="983" spans="14:18" ht="12.5">
      <c r="N983" s="149"/>
      <c r="O983" s="149"/>
      <c r="P983" s="149"/>
      <c r="Q983" s="149"/>
      <c r="R983" s="149"/>
    </row>
    <row r="984" spans="14:18" ht="12.5">
      <c r="N984" s="149"/>
      <c r="O984" s="149"/>
      <c r="P984" s="149"/>
      <c r="Q984" s="149"/>
      <c r="R984" s="149"/>
    </row>
    <row r="985" spans="14:18" ht="12.5">
      <c r="N985" s="149"/>
      <c r="O985" s="149"/>
      <c r="P985" s="149"/>
      <c r="Q985" s="149"/>
      <c r="R985" s="149"/>
    </row>
    <row r="986" spans="14:18" ht="12.5">
      <c r="N986" s="149"/>
      <c r="O986" s="149"/>
      <c r="P986" s="149"/>
      <c r="Q986" s="149"/>
      <c r="R986" s="149"/>
    </row>
    <row r="987" spans="14:18" ht="12.5">
      <c r="N987" s="149"/>
      <c r="O987" s="149"/>
      <c r="P987" s="149"/>
      <c r="Q987" s="149"/>
      <c r="R987" s="149"/>
    </row>
    <row r="988" spans="14:18" ht="12.5">
      <c r="N988" s="149"/>
      <c r="O988" s="149"/>
      <c r="P988" s="149"/>
      <c r="Q988" s="149"/>
      <c r="R988" s="149"/>
    </row>
    <row r="989" spans="14:18" ht="12.5">
      <c r="N989" s="149"/>
      <c r="O989" s="149"/>
      <c r="P989" s="149"/>
      <c r="Q989" s="149"/>
      <c r="R989" s="149"/>
    </row>
    <row r="990" spans="14:18" ht="12.5">
      <c r="N990" s="149"/>
      <c r="O990" s="149"/>
      <c r="P990" s="149"/>
      <c r="Q990" s="149"/>
      <c r="R990" s="149"/>
    </row>
    <row r="991" spans="14:18" ht="12.5">
      <c r="N991" s="149"/>
      <c r="O991" s="149"/>
      <c r="P991" s="149"/>
      <c r="Q991" s="149"/>
      <c r="R991" s="149"/>
    </row>
    <row r="992" spans="14:18" ht="12.5">
      <c r="N992" s="149"/>
      <c r="O992" s="149"/>
      <c r="P992" s="149"/>
      <c r="Q992" s="149"/>
      <c r="R992" s="149"/>
    </row>
    <row r="993" spans="14:18" ht="12.5">
      <c r="N993" s="149"/>
      <c r="O993" s="149"/>
      <c r="P993" s="149"/>
      <c r="Q993" s="149"/>
      <c r="R993" s="149"/>
    </row>
    <row r="994" spans="14:18" ht="12.5">
      <c r="N994" s="149"/>
      <c r="O994" s="149"/>
      <c r="P994" s="149"/>
      <c r="Q994" s="149"/>
      <c r="R994" s="149"/>
    </row>
    <row r="995" spans="14:18" ht="12.5">
      <c r="N995" s="149"/>
      <c r="O995" s="149"/>
      <c r="P995" s="149"/>
      <c r="Q995" s="149"/>
      <c r="R995" s="149"/>
    </row>
    <row r="996" spans="14:18" ht="12.5">
      <c r="N996" s="149"/>
      <c r="O996" s="149"/>
      <c r="P996" s="149"/>
      <c r="Q996" s="149"/>
      <c r="R996" s="149"/>
    </row>
    <row r="997" spans="14:18" ht="12.5">
      <c r="N997" s="149"/>
      <c r="O997" s="149"/>
      <c r="P997" s="149"/>
      <c r="Q997" s="149"/>
      <c r="R997" s="149"/>
    </row>
    <row r="998" spans="14:18" ht="12.5">
      <c r="N998" s="149"/>
      <c r="O998" s="149"/>
      <c r="P998" s="149"/>
      <c r="Q998" s="149"/>
      <c r="R998" s="149"/>
    </row>
    <row r="999" spans="14:18" ht="12.5">
      <c r="N999" s="149"/>
      <c r="O999" s="149"/>
      <c r="P999" s="149"/>
      <c r="Q999" s="149"/>
      <c r="R999" s="149"/>
    </row>
    <row r="1000" spans="14:18" ht="12.5">
      <c r="N1000" s="149"/>
      <c r="O1000" s="149"/>
      <c r="P1000" s="149"/>
      <c r="Q1000" s="149"/>
      <c r="R1000" s="149"/>
    </row>
  </sheetData>
  <autoFilter ref="A2:S118" xr:uid="{4F29CDC2-9D4E-4082-9079-C844086D6452}">
    <filterColumn colId="1">
      <filters>
        <filter val="Health"/>
        <filter val="Nutrition"/>
      </filters>
    </filterColumn>
    <filterColumn colId="8">
      <filters>
        <filter val="Yes (MCNA)"/>
        <filter val="Yes (MOH)"/>
        <filter val="Yes (UNFPA)"/>
        <filter val="Yes (UNICEF per year)"/>
        <filter val="Yes (UNICEF)"/>
        <filter val="Yes(MOH)"/>
      </filters>
    </filterColumn>
    <filterColumn colId="9">
      <filters>
        <filter val="Yes"/>
      </filters>
    </filterColumn>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C34AB-E194-451E-A102-1A5D0B29BC55}">
  <dimension ref="A1:V55"/>
  <sheetViews>
    <sheetView topLeftCell="A17" zoomScale="92" workbookViewId="0">
      <selection activeCell="F20" sqref="F20"/>
    </sheetView>
  </sheetViews>
  <sheetFormatPr defaultColWidth="8.90625" defaultRowHeight="14.5"/>
  <cols>
    <col min="1" max="1" width="8.90625" style="278"/>
    <col min="2" max="2" width="12.1796875" style="278" customWidth="1"/>
    <col min="3" max="3" width="14.453125" style="278" customWidth="1"/>
    <col min="4" max="5" width="7.81640625" style="278" customWidth="1"/>
    <col min="6" max="6" width="59.08984375" style="342" customWidth="1"/>
    <col min="7" max="7" width="13.54296875" style="288" hidden="1" customWidth="1"/>
    <col min="8" max="9" width="0" style="278" hidden="1" customWidth="1"/>
    <col min="10" max="10" width="14.81640625" style="278" hidden="1" customWidth="1"/>
    <col min="11" max="11" width="8.90625" style="278"/>
    <col min="12" max="15" width="13.08984375" style="278" customWidth="1"/>
    <col min="16" max="16" width="9.81640625" style="278" customWidth="1"/>
    <col min="17" max="17" width="8.08984375" style="278" customWidth="1"/>
    <col min="18" max="18" width="64.90625" style="278" customWidth="1"/>
    <col min="19" max="19" width="31.81640625" style="278" customWidth="1"/>
    <col min="20" max="16384" width="8.90625" style="278"/>
  </cols>
  <sheetData>
    <row r="1" spans="1:22" ht="46">
      <c r="A1" s="274" t="s">
        <v>1032</v>
      </c>
      <c r="B1" s="274" t="s">
        <v>1033</v>
      </c>
      <c r="C1" s="275" t="s">
        <v>1034</v>
      </c>
      <c r="D1" s="275" t="s">
        <v>1035</v>
      </c>
      <c r="E1" s="275" t="s">
        <v>1036</v>
      </c>
      <c r="F1" s="383" t="s">
        <v>1037</v>
      </c>
      <c r="G1" s="275" t="s">
        <v>1038</v>
      </c>
      <c r="H1" s="275" t="s">
        <v>1039</v>
      </c>
      <c r="I1" s="275" t="s">
        <v>1040</v>
      </c>
      <c r="J1" s="275" t="s">
        <v>1041</v>
      </c>
      <c r="K1" s="279">
        <v>1</v>
      </c>
      <c r="L1" s="280">
        <v>2</v>
      </c>
      <c r="M1" s="281">
        <v>3</v>
      </c>
      <c r="N1" s="282">
        <v>4</v>
      </c>
      <c r="O1" s="283">
        <v>5</v>
      </c>
      <c r="P1" s="284" t="s">
        <v>1042</v>
      </c>
      <c r="Q1" s="285" t="s">
        <v>1356</v>
      </c>
      <c r="R1" s="286" t="s">
        <v>1355</v>
      </c>
      <c r="S1" s="278" t="s">
        <v>1686</v>
      </c>
      <c r="T1" s="959" t="s">
        <v>1897</v>
      </c>
      <c r="U1" s="959"/>
      <c r="V1" s="959"/>
    </row>
    <row r="2" spans="1:22" s="288" customFormat="1" ht="46">
      <c r="A2" s="276">
        <v>61</v>
      </c>
      <c r="B2" s="277" t="s">
        <v>231</v>
      </c>
      <c r="C2" s="277" t="s">
        <v>533</v>
      </c>
      <c r="D2" s="277" t="s">
        <v>1156</v>
      </c>
      <c r="E2" s="277" t="s">
        <v>1046</v>
      </c>
      <c r="F2" s="277" t="s">
        <v>1236</v>
      </c>
      <c r="G2" s="252"/>
      <c r="H2" s="277"/>
      <c r="I2" s="277" t="s">
        <v>1237</v>
      </c>
      <c r="J2" s="277" t="s">
        <v>1238</v>
      </c>
      <c r="K2" s="277"/>
      <c r="L2" s="277"/>
      <c r="M2" s="277"/>
      <c r="N2" s="277"/>
      <c r="O2" s="277"/>
      <c r="P2" s="277"/>
      <c r="Q2" s="287"/>
      <c r="R2" s="287"/>
      <c r="T2" s="420" t="s">
        <v>1394</v>
      </c>
      <c r="U2" s="420"/>
      <c r="V2" s="420"/>
    </row>
    <row r="3" spans="1:22" s="288" customFormat="1" ht="46">
      <c r="A3" s="276">
        <v>62</v>
      </c>
      <c r="B3" s="277" t="s">
        <v>231</v>
      </c>
      <c r="C3" s="277" t="s">
        <v>533</v>
      </c>
      <c r="D3" s="277" t="s">
        <v>1156</v>
      </c>
      <c r="E3" s="277" t="s">
        <v>1046</v>
      </c>
      <c r="F3" s="277" t="s">
        <v>1239</v>
      </c>
      <c r="G3" s="252"/>
      <c r="H3" s="277">
        <v>1</v>
      </c>
      <c r="I3" s="277" t="s">
        <v>1240</v>
      </c>
      <c r="J3" s="277" t="s">
        <v>1241</v>
      </c>
      <c r="K3" s="277">
        <v>0</v>
      </c>
      <c r="L3" s="277" t="s">
        <v>1242</v>
      </c>
      <c r="M3" s="277" t="s">
        <v>1243</v>
      </c>
      <c r="N3" s="277" t="s">
        <v>1244</v>
      </c>
      <c r="O3" s="277" t="s">
        <v>1245</v>
      </c>
      <c r="P3" s="277"/>
      <c r="Q3" s="287"/>
      <c r="R3" s="287"/>
      <c r="T3" s="419"/>
      <c r="U3" s="419"/>
      <c r="V3" s="419"/>
    </row>
    <row r="4" spans="1:22" s="288" customFormat="1" ht="46">
      <c r="A4" s="276">
        <v>63</v>
      </c>
      <c r="B4" s="277" t="s">
        <v>231</v>
      </c>
      <c r="C4" s="277" t="s">
        <v>533</v>
      </c>
      <c r="D4" s="277" t="s">
        <v>1156</v>
      </c>
      <c r="E4" s="277" t="s">
        <v>1046</v>
      </c>
      <c r="F4" s="277" t="s">
        <v>1246</v>
      </c>
      <c r="G4" s="252"/>
      <c r="H4" s="277">
        <v>2</v>
      </c>
      <c r="I4" s="277" t="s">
        <v>1247</v>
      </c>
      <c r="J4" s="277" t="s">
        <v>1248</v>
      </c>
      <c r="K4" s="277">
        <v>0</v>
      </c>
      <c r="L4" s="277" t="s">
        <v>1242</v>
      </c>
      <c r="M4" s="277" t="s">
        <v>1243</v>
      </c>
      <c r="N4" s="277" t="s">
        <v>1244</v>
      </c>
      <c r="O4" s="277" t="s">
        <v>1245</v>
      </c>
      <c r="P4" s="277"/>
      <c r="Q4" s="287"/>
      <c r="R4" s="287"/>
      <c r="T4" s="419"/>
      <c r="U4" s="419"/>
      <c r="V4" s="419"/>
    </row>
    <row r="5" spans="1:22" s="288" customFormat="1" ht="88.5">
      <c r="A5" s="276">
        <v>64</v>
      </c>
      <c r="B5" s="277" t="s">
        <v>231</v>
      </c>
      <c r="C5" s="277" t="s">
        <v>533</v>
      </c>
      <c r="D5" s="277" t="s">
        <v>1156</v>
      </c>
      <c r="E5" s="277" t="s">
        <v>1188</v>
      </c>
      <c r="F5" s="277" t="s">
        <v>1249</v>
      </c>
      <c r="G5" s="252"/>
      <c r="H5" s="277">
        <v>1</v>
      </c>
      <c r="I5" s="277" t="s">
        <v>1250</v>
      </c>
      <c r="J5" s="277" t="s">
        <v>1251</v>
      </c>
      <c r="K5" s="277">
        <v>0</v>
      </c>
      <c r="L5" s="277" t="s">
        <v>1242</v>
      </c>
      <c r="M5" s="277" t="s">
        <v>1243</v>
      </c>
      <c r="N5" s="277" t="s">
        <v>1244</v>
      </c>
      <c r="O5" s="277" t="s">
        <v>1245</v>
      </c>
      <c r="P5" s="277"/>
      <c r="Q5" s="287"/>
      <c r="R5" s="287"/>
      <c r="T5" s="420" t="s">
        <v>1394</v>
      </c>
      <c r="U5" s="421" t="s">
        <v>1895</v>
      </c>
      <c r="V5" s="421" t="s">
        <v>1562</v>
      </c>
    </row>
    <row r="6" spans="1:22" s="288" customFormat="1" ht="57.5">
      <c r="A6" s="276">
        <v>65</v>
      </c>
      <c r="B6" s="277" t="s">
        <v>231</v>
      </c>
      <c r="C6" s="277" t="s">
        <v>533</v>
      </c>
      <c r="D6" s="277" t="s">
        <v>1156</v>
      </c>
      <c r="E6" s="277" t="s">
        <v>1188</v>
      </c>
      <c r="F6" s="277" t="s">
        <v>1252</v>
      </c>
      <c r="G6" s="252"/>
      <c r="H6" s="277">
        <v>1</v>
      </c>
      <c r="I6" s="277" t="s">
        <v>1250</v>
      </c>
      <c r="J6" s="277" t="s">
        <v>1253</v>
      </c>
      <c r="K6" s="277">
        <v>0</v>
      </c>
      <c r="L6" s="277" t="s">
        <v>1254</v>
      </c>
      <c r="M6" s="277" t="s">
        <v>1255</v>
      </c>
      <c r="N6" s="277" t="s">
        <v>1256</v>
      </c>
      <c r="O6" s="277" t="s">
        <v>1257</v>
      </c>
      <c r="P6" s="277"/>
      <c r="Q6" s="287"/>
      <c r="R6" s="287"/>
      <c r="T6" s="420" t="s">
        <v>1394</v>
      </c>
      <c r="U6" s="420"/>
      <c r="V6" s="420"/>
    </row>
    <row r="7" spans="1:22" s="288" customFormat="1" ht="76">
      <c r="A7" s="276">
        <v>66</v>
      </c>
      <c r="B7" s="277" t="s">
        <v>231</v>
      </c>
      <c r="C7" s="277" t="s">
        <v>533</v>
      </c>
      <c r="D7" s="277" t="s">
        <v>1156</v>
      </c>
      <c r="E7" s="277" t="s">
        <v>1188</v>
      </c>
      <c r="F7" s="277" t="s">
        <v>1258</v>
      </c>
      <c r="G7" s="252"/>
      <c r="H7" s="277">
        <v>1</v>
      </c>
      <c r="I7" s="277" t="s">
        <v>1250</v>
      </c>
      <c r="J7" s="277" t="s">
        <v>1259</v>
      </c>
      <c r="K7" s="277" t="s">
        <v>1260</v>
      </c>
      <c r="L7" s="277" t="s">
        <v>1261</v>
      </c>
      <c r="M7" s="277" t="s">
        <v>1262</v>
      </c>
      <c r="N7" s="277" t="s">
        <v>1263</v>
      </c>
      <c r="O7" s="277" t="s">
        <v>1264</v>
      </c>
      <c r="P7" s="277"/>
      <c r="Q7" s="287"/>
      <c r="R7" s="287"/>
      <c r="T7" s="420" t="s">
        <v>1394</v>
      </c>
      <c r="U7" s="421" t="s">
        <v>1895</v>
      </c>
      <c r="V7" s="421" t="s">
        <v>1896</v>
      </c>
    </row>
    <row r="8" spans="1:22" ht="92">
      <c r="A8" s="276">
        <v>67</v>
      </c>
      <c r="B8" s="277" t="s">
        <v>231</v>
      </c>
      <c r="C8" s="277" t="s">
        <v>1265</v>
      </c>
      <c r="D8" s="277" t="s">
        <v>1156</v>
      </c>
      <c r="E8" s="277" t="s">
        <v>1157</v>
      </c>
      <c r="F8" s="277" t="s">
        <v>1266</v>
      </c>
      <c r="G8" s="270"/>
      <c r="H8" s="277">
        <v>1</v>
      </c>
      <c r="I8" s="277" t="s">
        <v>1247</v>
      </c>
      <c r="J8" s="277" t="s">
        <v>1248</v>
      </c>
      <c r="K8" s="277">
        <v>0</v>
      </c>
      <c r="L8" s="277" t="s">
        <v>1242</v>
      </c>
      <c r="M8" s="277" t="s">
        <v>1243</v>
      </c>
      <c r="N8" s="277" t="s">
        <v>1244</v>
      </c>
      <c r="O8" s="277" t="s">
        <v>1245</v>
      </c>
      <c r="P8" s="277"/>
      <c r="Q8" s="273" t="s">
        <v>20</v>
      </c>
      <c r="R8" s="273" t="s">
        <v>1144</v>
      </c>
      <c r="T8" s="419"/>
      <c r="U8" s="419"/>
      <c r="V8" s="419"/>
    </row>
    <row r="9" spans="1:22" ht="46">
      <c r="A9" s="276">
        <v>68</v>
      </c>
      <c r="B9" s="277" t="s">
        <v>231</v>
      </c>
      <c r="C9" s="277" t="s">
        <v>1267</v>
      </c>
      <c r="D9" s="277" t="s">
        <v>1156</v>
      </c>
      <c r="E9" s="277" t="s">
        <v>1046</v>
      </c>
      <c r="F9" s="277" t="s">
        <v>1268</v>
      </c>
      <c r="G9" s="270"/>
      <c r="H9" s="277">
        <v>1</v>
      </c>
      <c r="I9" s="277" t="s">
        <v>1240</v>
      </c>
      <c r="J9" s="277" t="s">
        <v>1241</v>
      </c>
      <c r="K9" s="277" t="s">
        <v>1269</v>
      </c>
      <c r="L9" s="277" t="s">
        <v>1270</v>
      </c>
      <c r="M9" s="277" t="s">
        <v>1271</v>
      </c>
      <c r="N9" s="277" t="s">
        <v>1272</v>
      </c>
      <c r="O9" s="277" t="s">
        <v>1273</v>
      </c>
      <c r="P9" s="277"/>
      <c r="Q9" s="273" t="s">
        <v>1146</v>
      </c>
      <c r="R9" s="273" t="s">
        <v>1145</v>
      </c>
    </row>
    <row r="10" spans="1:22" ht="46">
      <c r="A10" s="276">
        <v>69</v>
      </c>
      <c r="B10" s="277" t="s">
        <v>231</v>
      </c>
      <c r="C10" s="277" t="s">
        <v>1267</v>
      </c>
      <c r="D10" s="277" t="s">
        <v>1156</v>
      </c>
      <c r="E10" s="277" t="s">
        <v>1046</v>
      </c>
      <c r="F10" s="277" t="s">
        <v>1274</v>
      </c>
      <c r="G10" s="270"/>
      <c r="H10" s="277">
        <v>2</v>
      </c>
      <c r="I10" s="277" t="s">
        <v>1247</v>
      </c>
      <c r="J10" s="277" t="s">
        <v>1248</v>
      </c>
      <c r="K10" s="277" t="s">
        <v>1275</v>
      </c>
      <c r="L10" s="277" t="s">
        <v>1276</v>
      </c>
      <c r="M10" s="277" t="s">
        <v>1277</v>
      </c>
      <c r="N10" s="277" t="s">
        <v>1278</v>
      </c>
      <c r="O10" s="277" t="s">
        <v>1279</v>
      </c>
      <c r="P10" s="277"/>
      <c r="Q10" s="273" t="s">
        <v>20</v>
      </c>
      <c r="R10" s="273" t="s">
        <v>1147</v>
      </c>
    </row>
    <row r="11" spans="1:22" ht="57.5">
      <c r="A11" s="276">
        <v>70</v>
      </c>
      <c r="B11" s="277" t="s">
        <v>231</v>
      </c>
      <c r="C11" s="277" t="s">
        <v>1267</v>
      </c>
      <c r="D11" s="277" t="s">
        <v>1156</v>
      </c>
      <c r="E11" s="277" t="s">
        <v>1188</v>
      </c>
      <c r="F11" s="277" t="s">
        <v>1280</v>
      </c>
      <c r="G11" s="270"/>
      <c r="H11" s="277">
        <v>1</v>
      </c>
      <c r="I11" s="277" t="s">
        <v>1250</v>
      </c>
      <c r="J11" s="277" t="s">
        <v>1248</v>
      </c>
      <c r="K11" s="277" t="s">
        <v>945</v>
      </c>
      <c r="L11" s="277" t="s">
        <v>946</v>
      </c>
      <c r="M11" s="277" t="s">
        <v>947</v>
      </c>
      <c r="N11" s="277" t="s">
        <v>948</v>
      </c>
      <c r="O11" s="277" t="s">
        <v>949</v>
      </c>
      <c r="P11" s="277"/>
      <c r="Q11" s="273" t="s">
        <v>20</v>
      </c>
      <c r="R11" s="273" t="s">
        <v>1148</v>
      </c>
    </row>
    <row r="12" spans="1:22" ht="92">
      <c r="A12" s="276">
        <v>71</v>
      </c>
      <c r="B12" s="277" t="s">
        <v>231</v>
      </c>
      <c r="C12" s="277" t="s">
        <v>1281</v>
      </c>
      <c r="D12" s="277" t="s">
        <v>1156</v>
      </c>
      <c r="E12" s="277" t="s">
        <v>1188</v>
      </c>
      <c r="F12" s="277" t="s">
        <v>1282</v>
      </c>
      <c r="G12" s="270"/>
      <c r="H12" s="277">
        <v>1</v>
      </c>
      <c r="I12" s="277" t="s">
        <v>1250</v>
      </c>
      <c r="J12" s="277" t="s">
        <v>1248</v>
      </c>
      <c r="K12" s="277" t="s">
        <v>1275</v>
      </c>
      <c r="L12" s="277" t="s">
        <v>1276</v>
      </c>
      <c r="M12" s="277" t="s">
        <v>1277</v>
      </c>
      <c r="N12" s="277" t="s">
        <v>1278</v>
      </c>
      <c r="O12" s="277" t="s">
        <v>1279</v>
      </c>
      <c r="P12" s="277"/>
      <c r="Q12" s="273" t="s">
        <v>20</v>
      </c>
      <c r="R12" s="273" t="s">
        <v>1149</v>
      </c>
    </row>
    <row r="13" spans="1:22" ht="80.5">
      <c r="A13" s="276">
        <v>72</v>
      </c>
      <c r="B13" s="277" t="s">
        <v>231</v>
      </c>
      <c r="C13" s="277" t="s">
        <v>1281</v>
      </c>
      <c r="D13" s="277" t="s">
        <v>1156</v>
      </c>
      <c r="E13" s="277" t="s">
        <v>1188</v>
      </c>
      <c r="F13" s="277" t="s">
        <v>1283</v>
      </c>
      <c r="G13" s="270"/>
      <c r="H13" s="277"/>
      <c r="I13" s="277" t="s">
        <v>1240</v>
      </c>
      <c r="J13" s="277" t="s">
        <v>1284</v>
      </c>
      <c r="K13" s="277" t="s">
        <v>1275</v>
      </c>
      <c r="L13" s="277" t="s">
        <v>1276</v>
      </c>
      <c r="M13" s="277" t="s">
        <v>1277</v>
      </c>
      <c r="N13" s="277" t="s">
        <v>1278</v>
      </c>
      <c r="O13" s="277" t="s">
        <v>1279</v>
      </c>
      <c r="P13" s="277"/>
      <c r="Q13" s="273" t="s">
        <v>20</v>
      </c>
      <c r="R13" s="273" t="s">
        <v>1150</v>
      </c>
    </row>
    <row r="14" spans="1:22" s="288" customFormat="1" ht="46">
      <c r="A14" s="276">
        <v>73</v>
      </c>
      <c r="B14" s="277" t="s">
        <v>231</v>
      </c>
      <c r="C14" s="277" t="s">
        <v>534</v>
      </c>
      <c r="D14" s="277" t="s">
        <v>1081</v>
      </c>
      <c r="E14" s="277" t="s">
        <v>1082</v>
      </c>
      <c r="F14" s="384" t="s">
        <v>1285</v>
      </c>
      <c r="G14" s="277"/>
      <c r="H14" s="277">
        <v>2</v>
      </c>
      <c r="I14" s="277" t="s">
        <v>1240</v>
      </c>
      <c r="J14" s="277" t="s">
        <v>1286</v>
      </c>
      <c r="K14" s="277" t="s">
        <v>1287</v>
      </c>
      <c r="L14" s="277" t="s">
        <v>1277</v>
      </c>
      <c r="M14" s="277" t="s">
        <v>1288</v>
      </c>
      <c r="N14" s="277" t="s">
        <v>1289</v>
      </c>
      <c r="O14" s="277" t="s">
        <v>1290</v>
      </c>
      <c r="P14" s="277"/>
      <c r="Q14" s="287"/>
      <c r="R14" s="291" t="s">
        <v>1481</v>
      </c>
    </row>
    <row r="15" spans="1:22" s="362" customFormat="1" ht="39">
      <c r="A15" s="358" t="s">
        <v>1688</v>
      </c>
      <c r="B15" s="364" t="str">
        <f ca="1">IFERROR(__xludf.DUMMYFUNCTION("""COMPUTED_VALUE"""),"Protection")</f>
        <v>Protection</v>
      </c>
      <c r="C15" s="364" t="str">
        <f ca="1">IFERROR(__xludf.DUMMYFUNCTION("""COMPUTED_VALUE"""),"HLP")</f>
        <v>HLP</v>
      </c>
      <c r="D15" s="364" t="str">
        <f ca="1">IFERROR(__xludf.DUMMYFUNCTION("""COMPUTED_VALUE"""),"Impact")</f>
        <v>Impact</v>
      </c>
      <c r="E15" s="364" t="str">
        <f ca="1">IFERROR(__xludf.DUMMYFUNCTION("""COMPUTED_VALUE"""),"Impact on people")</f>
        <v>Impact on people</v>
      </c>
      <c r="F15" s="385" t="str">
        <f ca="1">IFERROR(__xludf.DUMMYFUNCTION("""COMPUTED_VALUE"""),"% of HHs with housing / shelter damaged or destroyed due to violence, conflict or natural hazards")</f>
        <v>% of HHs with housing / shelter damaged or destroyed due to violence, conflict or natural hazards</v>
      </c>
      <c r="G15" s="364"/>
      <c r="H15" s="364">
        <f ca="1">IFERROR(__xludf.DUMMYFUNCTION("""COMPUTED_VALUE"""),2)</f>
        <v>2</v>
      </c>
      <c r="I15" s="364" t="str">
        <f ca="1">IFERROR(__xludf.DUMMYFUNCTION("""COMPUTED_VALUE"""),"KI")</f>
        <v>KI</v>
      </c>
      <c r="J15" s="364" t="str">
        <f ca="1">IFERROR(__xludf.DUMMYFUNCTION("""COMPUTED_VALUE"""),"UNOSAT / SDR")</f>
        <v>UNOSAT / SDR</v>
      </c>
      <c r="K15" s="364" t="str">
        <f ca="1">IFERROR(__xludf.DUMMYFUNCTION("""COMPUTED_VALUE"""),"&lt; 30%")</f>
        <v>&lt; 30%</v>
      </c>
      <c r="L15" s="364" t="str">
        <f ca="1">IFERROR(__xludf.DUMMYFUNCTION("""COMPUTED_VALUE"""),"30% - 40%")</f>
        <v>30% - 40%</v>
      </c>
      <c r="M15" s="364" t="str">
        <f ca="1">IFERROR(__xludf.DUMMYFUNCTION("""COMPUTED_VALUE"""),"40% - 55%")</f>
        <v>40% - 55%</v>
      </c>
      <c r="N15" s="364" t="str">
        <f ca="1">IFERROR(__xludf.DUMMYFUNCTION("""COMPUTED_VALUE"""),"55% - 70%")</f>
        <v>55% - 70%</v>
      </c>
      <c r="O15" s="364" t="str">
        <f ca="1">IFERROR(__xludf.DUMMYFUNCTION("""COMPUTED_VALUE"""),"&gt; 70%")</f>
        <v>&gt; 70%</v>
      </c>
      <c r="P15" s="359"/>
      <c r="Q15" s="360"/>
      <c r="R15" s="361"/>
    </row>
    <row r="16" spans="1:22" s="288" customFormat="1" ht="161">
      <c r="A16" s="276">
        <v>74</v>
      </c>
      <c r="B16" s="277" t="s">
        <v>231</v>
      </c>
      <c r="C16" s="277" t="s">
        <v>534</v>
      </c>
      <c r="D16" s="277" t="s">
        <v>1156</v>
      </c>
      <c r="E16" s="277" t="s">
        <v>1046</v>
      </c>
      <c r="F16" s="384" t="s">
        <v>1291</v>
      </c>
      <c r="G16" s="277"/>
      <c r="H16" s="277">
        <v>1</v>
      </c>
      <c r="I16" s="277" t="s">
        <v>1250</v>
      </c>
      <c r="J16" s="277" t="s">
        <v>1248</v>
      </c>
      <c r="K16" s="277" t="s">
        <v>1292</v>
      </c>
      <c r="L16" s="277" t="s">
        <v>1293</v>
      </c>
      <c r="M16" s="277" t="s">
        <v>1294</v>
      </c>
      <c r="N16" s="277" t="s">
        <v>1295</v>
      </c>
      <c r="O16" s="277" t="s">
        <v>1296</v>
      </c>
      <c r="P16" s="277"/>
      <c r="Q16" s="287"/>
      <c r="R16" s="291" t="s">
        <v>1478</v>
      </c>
      <c r="S16" s="288" t="s">
        <v>1687</v>
      </c>
    </row>
    <row r="17" spans="1:22" s="362" customFormat="1" ht="65">
      <c r="A17" s="358" t="s">
        <v>1689</v>
      </c>
      <c r="B17" s="364" t="str">
        <f ca="1">IFERROR(__xludf.DUMMYFUNCTION("""COMPUTED_VALUE"""),"Protection")</f>
        <v>Protection</v>
      </c>
      <c r="C17" s="364" t="str">
        <f ca="1">IFERROR(__xludf.DUMMYFUNCTION("""COMPUTED_VALUE"""),"HLP")</f>
        <v>HLP</v>
      </c>
      <c r="D17" s="364" t="str">
        <f ca="1">IFERROR(__xludf.DUMMYFUNCTION("""COMPUTED_VALUE"""),"Humanitarian Conditions")</f>
        <v>Humanitarian Conditions</v>
      </c>
      <c r="E17" s="364" t="str">
        <f ca="1">IFERROR(__xludf.DUMMYFUNCTION("""COMPUTED_VALUE"""),"Living Standards")</f>
        <v>Living Standards</v>
      </c>
      <c r="F17" s="385" t="s">
        <v>1706</v>
      </c>
      <c r="G17" s="364"/>
      <c r="H17" s="364">
        <f ca="1">IFERROR(__xludf.DUMMYFUNCTION("""COMPUTED_VALUE"""),1)</f>
        <v>1</v>
      </c>
      <c r="I17" s="364" t="str">
        <f ca="1">IFERROR(__xludf.DUMMYFUNCTION("""COMPUTED_VALUE"""),"HH Survey / KI")</f>
        <v>HH Survey / KI</v>
      </c>
      <c r="J17" s="364" t="str">
        <f ca="1">IFERROR(__xludf.DUMMYFUNCTION("""COMPUTED_VALUE"""),"MSNA / Protection Monitoring")</f>
        <v>MSNA / Protection Monitoring</v>
      </c>
      <c r="K17" s="357" t="str">
        <f ca="1">IFERROR(__xludf.DUMMYFUNCTION("""COMPUTED_VALUE"""),"&lt; 3%")</f>
        <v>&lt; 3%</v>
      </c>
      <c r="L17" s="357" t="str">
        <f ca="1">IFERROR(__xludf.DUMMYFUNCTION("""COMPUTED_VALUE"""),"3% - 5%")</f>
        <v>3% - 5%</v>
      </c>
      <c r="M17" s="357" t="s">
        <v>1693</v>
      </c>
      <c r="N17" s="357" t="s">
        <v>1694</v>
      </c>
      <c r="O17" s="357" t="s">
        <v>1695</v>
      </c>
      <c r="P17" s="359"/>
      <c r="Q17" s="360"/>
      <c r="R17" s="361"/>
    </row>
    <row r="18" spans="1:22" s="288" customFormat="1" ht="207">
      <c r="A18" s="276">
        <v>75</v>
      </c>
      <c r="B18" s="277" t="s">
        <v>231</v>
      </c>
      <c r="C18" s="277" t="s">
        <v>534</v>
      </c>
      <c r="D18" s="277" t="s">
        <v>1156</v>
      </c>
      <c r="E18" s="277" t="s">
        <v>1046</v>
      </c>
      <c r="F18" s="384" t="s">
        <v>1297</v>
      </c>
      <c r="G18" s="277"/>
      <c r="H18" s="277">
        <v>1</v>
      </c>
      <c r="I18" s="277" t="s">
        <v>1250</v>
      </c>
      <c r="J18" s="277" t="s">
        <v>1248</v>
      </c>
      <c r="K18" s="277" t="s">
        <v>1298</v>
      </c>
      <c r="L18" s="277" t="s">
        <v>1299</v>
      </c>
      <c r="M18" s="277" t="s">
        <v>1300</v>
      </c>
      <c r="N18" s="277" t="s">
        <v>1301</v>
      </c>
      <c r="O18" s="277" t="s">
        <v>1302</v>
      </c>
      <c r="P18" s="277"/>
      <c r="Q18" s="287"/>
      <c r="R18" s="291" t="s">
        <v>1479</v>
      </c>
      <c r="S18" s="288" t="s">
        <v>1687</v>
      </c>
    </row>
    <row r="19" spans="1:22" s="362" customFormat="1" ht="52">
      <c r="A19" s="358" t="s">
        <v>1690</v>
      </c>
      <c r="B19" s="364" t="str">
        <f ca="1">IFERROR(__xludf.DUMMYFUNCTION("""COMPUTED_VALUE"""),"Protection")</f>
        <v>Protection</v>
      </c>
      <c r="C19" s="364" t="str">
        <f ca="1">IFERROR(__xludf.DUMMYFUNCTION("""COMPUTED_VALUE"""),"HLP")</f>
        <v>HLP</v>
      </c>
      <c r="D19" s="364" t="str">
        <f ca="1">IFERROR(__xludf.DUMMYFUNCTION("""COMPUTED_VALUE"""),"Humanitarian Conditions")</f>
        <v>Humanitarian Conditions</v>
      </c>
      <c r="E19" s="364" t="str">
        <f ca="1">IFERROR(__xludf.DUMMYFUNCTION("""COMPUTED_VALUE"""),"Living Standards")</f>
        <v>Living Standards</v>
      </c>
      <c r="F19" s="385" t="s">
        <v>1705</v>
      </c>
      <c r="G19" s="364"/>
      <c r="H19" s="364">
        <f ca="1">IFERROR(__xludf.DUMMYFUNCTION("""COMPUTED_VALUE"""),1)</f>
        <v>1</v>
      </c>
      <c r="I19" s="364" t="str">
        <f ca="1">IFERROR(__xludf.DUMMYFUNCTION("""COMPUTED_VALUE"""),"HH Survey / KI")</f>
        <v>HH Survey / KI</v>
      </c>
      <c r="J19" s="364" t="str">
        <f ca="1">IFERROR(__xludf.DUMMYFUNCTION("""COMPUTED_VALUE"""),"MSNA / Protection Monitoring")</f>
        <v>MSNA / Protection Monitoring</v>
      </c>
      <c r="K19" s="357" t="str">
        <f ca="1">IFERROR(__xludf.DUMMYFUNCTION("""COMPUTED_VALUE"""),"&lt; 5%")</f>
        <v>&lt; 5%</v>
      </c>
      <c r="L19" s="357" t="str">
        <f ca="1">IFERROR(__xludf.DUMMYFUNCTION("""COMPUTED_VALUE"""),"5% - 10%")</f>
        <v>5% - 10%</v>
      </c>
      <c r="M19" s="357" t="s">
        <v>1696</v>
      </c>
      <c r="N19" s="357" t="s">
        <v>1697</v>
      </c>
      <c r="O19" s="357" t="s">
        <v>1695</v>
      </c>
      <c r="P19" s="359"/>
      <c r="Q19" s="360"/>
      <c r="R19" s="361"/>
    </row>
    <row r="20" spans="1:22" s="288" customFormat="1" ht="409.5">
      <c r="A20" s="276">
        <v>76</v>
      </c>
      <c r="B20" s="277" t="s">
        <v>231</v>
      </c>
      <c r="C20" s="277" t="s">
        <v>534</v>
      </c>
      <c r="D20" s="277" t="s">
        <v>1156</v>
      </c>
      <c r="E20" s="277" t="s">
        <v>1046</v>
      </c>
      <c r="F20" s="384" t="s">
        <v>1303</v>
      </c>
      <c r="G20" s="277"/>
      <c r="H20" s="277">
        <v>1</v>
      </c>
      <c r="I20" s="289" t="s">
        <v>1250</v>
      </c>
      <c r="J20" s="289" t="s">
        <v>1248</v>
      </c>
      <c r="K20" s="289" t="s">
        <v>1304</v>
      </c>
      <c r="L20" s="289" t="s">
        <v>1305</v>
      </c>
      <c r="M20" s="289" t="s">
        <v>1306</v>
      </c>
      <c r="N20" s="289" t="s">
        <v>1307</v>
      </c>
      <c r="O20" s="289" t="s">
        <v>1308</v>
      </c>
      <c r="P20" s="277"/>
      <c r="Q20" s="287"/>
      <c r="R20" s="291" t="s">
        <v>1480</v>
      </c>
      <c r="S20" s="288" t="s">
        <v>1687</v>
      </c>
    </row>
    <row r="21" spans="1:22" s="362" customFormat="1" ht="52">
      <c r="A21" s="358" t="s">
        <v>1691</v>
      </c>
      <c r="B21" s="364" t="str">
        <f ca="1">IFERROR(__xludf.DUMMYFUNCTION("""COMPUTED_VALUE"""),"Protection")</f>
        <v>Protection</v>
      </c>
      <c r="C21" s="364" t="str">
        <f ca="1">IFERROR(__xludf.DUMMYFUNCTION("""COMPUTED_VALUE"""),"HLP")</f>
        <v>HLP</v>
      </c>
      <c r="D21" s="364" t="str">
        <f ca="1">IFERROR(__xludf.DUMMYFUNCTION("""COMPUTED_VALUE"""),"Humanitarian Conditions")</f>
        <v>Humanitarian Conditions</v>
      </c>
      <c r="E21" s="364" t="str">
        <f ca="1">IFERROR(__xludf.DUMMYFUNCTION("""COMPUTED_VALUE"""),"Living Standards")</f>
        <v>Living Standards</v>
      </c>
      <c r="F21" s="385" t="s">
        <v>1704</v>
      </c>
      <c r="G21" s="364"/>
      <c r="H21" s="364">
        <f ca="1">IFERROR(__xludf.DUMMYFUNCTION("""COMPUTED_VALUE"""),1)</f>
        <v>1</v>
      </c>
      <c r="I21" s="365" t="str">
        <f ca="1">IFERROR(__xludf.DUMMYFUNCTION("""COMPUTED_VALUE"""),"HH Survey / KI")</f>
        <v>HH Survey / KI</v>
      </c>
      <c r="J21" s="365" t="str">
        <f ca="1">IFERROR(__xludf.DUMMYFUNCTION("""COMPUTED_VALUE"""),"MSNA / Protection Monitoring")</f>
        <v>MSNA / Protection Monitoring</v>
      </c>
      <c r="K21" s="357" t="str">
        <f ca="1">IFERROR(__xludf.DUMMYFUNCTION("""COMPUTED_VALUE"""),"&lt; 10%")</f>
        <v>&lt; 10%</v>
      </c>
      <c r="L21" s="357" t="s">
        <v>1696</v>
      </c>
      <c r="M21" s="357" t="s">
        <v>1697</v>
      </c>
      <c r="N21" s="357" t="s">
        <v>1698</v>
      </c>
      <c r="O21" s="357" t="s">
        <v>1699</v>
      </c>
      <c r="P21" s="359"/>
      <c r="Q21" s="360"/>
      <c r="R21" s="361"/>
    </row>
    <row r="22" spans="1:22" s="288" customFormat="1" ht="175">
      <c r="A22" s="366">
        <f ca="1">IFERROR(__xludf.DUMMYFUNCTION("""COMPUTED_VALUE"""),77)</f>
        <v>77</v>
      </c>
      <c r="B22" s="367" t="str">
        <f ca="1">IFERROR(__xludf.DUMMYFUNCTION("""COMPUTED_VALUE"""),"Protection")</f>
        <v>Protection</v>
      </c>
      <c r="C22" s="367" t="str">
        <f ca="1">IFERROR(__xludf.DUMMYFUNCTION("""COMPUTED_VALUE"""),"HLP / MA")</f>
        <v>HLP / MA</v>
      </c>
      <c r="D22" s="367" t="str">
        <f ca="1">IFERROR(__xludf.DUMMYFUNCTION("""COMPUTED_VALUE"""),"Humanitarian Conditions")</f>
        <v>Humanitarian Conditions</v>
      </c>
      <c r="E22" s="367" t="str">
        <f ca="1">IFERROR(__xludf.DUMMYFUNCTION("""COMPUTED_VALUE"""),"Living Standards")</f>
        <v>Living Standards</v>
      </c>
      <c r="F22" s="386" t="str">
        <f ca="1">IFERROR(__xludf.DUMMYFUNCTION("""COMPUTED_VALUE"""),"% of households without access to land or resources for their livelihoods")</f>
        <v>% of households without access to land or resources for their livelihoods</v>
      </c>
      <c r="G22" s="367"/>
      <c r="H22" s="367">
        <f ca="1">IFERROR(__xludf.DUMMYFUNCTION("""COMPUTED_VALUE"""),1)</f>
        <v>1</v>
      </c>
      <c r="I22" s="367" t="str">
        <f ca="1">IFERROR(__xludf.DUMMYFUNCTION("""COMPUTED_VALUE"""),"HH Survey / KI")</f>
        <v>HH Survey / KI</v>
      </c>
      <c r="J22" s="367" t="str">
        <f ca="1">IFERROR(__xludf.DUMMYFUNCTION("""COMPUTED_VALUE"""),"MSNA / Protection Monitoring")</f>
        <v>MSNA / Protection Monitoring</v>
      </c>
      <c r="K22" s="367" t="str">
        <f ca="1">IFERROR(__xludf.DUMMYFUNCTION("""COMPUTED_VALUE"""),"Access with confidence of long term usage (adapt to context and livelihood type) without infringement")</f>
        <v>Access with confidence of long term usage (adapt to context and livelihood type) without infringement</v>
      </c>
      <c r="L22" s="367" t="str">
        <f ca="1">IFERROR(__xludf.DUMMYFUNCTION("""COMPUTED_VALUE"""),"Access for defined short term period of time (adapt to context and livelihood type). Confident that access and use during that time will be uninfringed")</f>
        <v>Access for defined short term period of time (adapt to context and livelihood type). Confident that access and use during that time will be uninfringed</v>
      </c>
      <c r="M22" s="367" t="str">
        <f ca="1">IFERROR(__xludf.DUMMYFUNCTION("""COMPUTED_VALUE"""),"Access with limited confidence on ability to use for any continous period of time - percieve potential risk of infringement")</f>
        <v>Access with limited confidence on ability to use for any continous period of time - percieve potential risk of infringement</v>
      </c>
      <c r="N22" s="367" t="str">
        <f ca="1">IFERROR(__xludf.DUMMYFUNCTION("""COMPUTED_VALUE"""),"Access or use explicitly threatened by another party - loss of access imminent (before a harvest, or before new pasture can be found)")</f>
        <v>Access or use explicitly threatened by another party - loss of access imminent (before a harvest, or before new pasture can be found)</v>
      </c>
      <c r="O22" s="367" t="str">
        <f ca="1">IFERROR(__xludf.DUMMYFUNCTION("""COMPUTED_VALUE"""),"Access or use impeded to land or resource or evidence that livelihood resource acutally damaged or destroyed")</f>
        <v>Access or use impeded to land or resource or evidence that livelihood resource acutally damaged or destroyed</v>
      </c>
      <c r="P22" s="363"/>
      <c r="Q22" s="287"/>
      <c r="R22" s="291" t="s">
        <v>1477</v>
      </c>
      <c r="S22" s="288" t="s">
        <v>1703</v>
      </c>
    </row>
    <row r="23" spans="1:22" s="362" customFormat="1" ht="52">
      <c r="A23" s="368" t="s">
        <v>1692</v>
      </c>
      <c r="B23" s="364" t="str">
        <f ca="1">IFERROR(__xludf.DUMMYFUNCTION("""COMPUTED_VALUE"""),"Protection")</f>
        <v>Protection</v>
      </c>
      <c r="C23" s="364" t="str">
        <f ca="1">IFERROR(__xludf.DUMMYFUNCTION("""COMPUTED_VALUE"""),"HLP / MA")</f>
        <v>HLP / MA</v>
      </c>
      <c r="D23" s="364" t="str">
        <f ca="1">IFERROR(__xludf.DUMMYFUNCTION("""COMPUTED_VALUE"""),"Humanitarian Conditions")</f>
        <v>Humanitarian Conditions</v>
      </c>
      <c r="E23" s="364" t="str">
        <f ca="1">IFERROR(__xludf.DUMMYFUNCTION("""COMPUTED_VALUE"""),"Living Standards")</f>
        <v>Living Standards</v>
      </c>
      <c r="F23" s="385" t="str">
        <f ca="1">IFERROR(__xludf.DUMMYFUNCTION("""COMPUTED_VALUE"""),"% of households without access to land or resources for their livelihoods")</f>
        <v>% of households without access to land or resources for their livelihoods</v>
      </c>
      <c r="G23" s="364"/>
      <c r="H23" s="364">
        <f ca="1">IFERROR(__xludf.DUMMYFUNCTION("""COMPUTED_VALUE"""),1)</f>
        <v>1</v>
      </c>
      <c r="I23" s="364" t="str">
        <f ca="1">IFERROR(__xludf.DUMMYFUNCTION("""COMPUTED_VALUE"""),"HH Survey / KI")</f>
        <v>HH Survey / KI</v>
      </c>
      <c r="J23" s="364" t="str">
        <f ca="1">IFERROR(__xludf.DUMMYFUNCTION("""COMPUTED_VALUE"""),"MSNA / Protection Monitoring")</f>
        <v>MSNA / Protection Monitoring</v>
      </c>
      <c r="K23" s="357" t="str">
        <f ca="1">IFERROR(__xludf.DUMMYFUNCTION("""COMPUTED_VALUE"""),"&lt; 20%")</f>
        <v>&lt; 20%</v>
      </c>
      <c r="L23" s="357" t="s">
        <v>1698</v>
      </c>
      <c r="M23" s="357" t="s">
        <v>1700</v>
      </c>
      <c r="N23" s="357" t="s">
        <v>1701</v>
      </c>
      <c r="O23" s="357" t="s">
        <v>1702</v>
      </c>
      <c r="P23" s="369"/>
      <c r="Q23" s="360"/>
      <c r="R23" s="361"/>
    </row>
    <row r="24" spans="1:22" s="288" customFormat="1" ht="50">
      <c r="A24" s="352">
        <f ca="1">IFERROR(__xludf.DUMMYFUNCTION("""COMPUTED_VALUE"""),78)</f>
        <v>78</v>
      </c>
      <c r="B24" s="353" t="str">
        <f ca="1">IFERROR(__xludf.DUMMYFUNCTION("""COMPUTED_VALUE"""),"Protection")</f>
        <v>Protection</v>
      </c>
      <c r="C24" s="353" t="str">
        <f ca="1">IFERROR(__xludf.DUMMYFUNCTION("""COMPUTED_VALUE"""),"MA")</f>
        <v>MA</v>
      </c>
      <c r="D24" s="353" t="str">
        <f ca="1">IFERROR(__xludf.DUMMYFUNCTION("""COMPUTED_VALUE"""),"Humanitarian Conditions")</f>
        <v>Humanitarian Conditions</v>
      </c>
      <c r="E24" s="353" t="str">
        <f ca="1">IFERROR(__xludf.DUMMYFUNCTION("""COMPUTED_VALUE"""),"Living Standards")</f>
        <v>Living Standards</v>
      </c>
      <c r="F24" s="353" t="str">
        <f ca="1">IFERROR(__xludf.DUMMYFUNCTION("""COMPUTED_VALUE"""),"% of persons (SADD) in sites/communities reporting presence of EO without access to risk education")</f>
        <v>% of persons (SADD) in sites/communities reporting presence of EO without access to risk education</v>
      </c>
      <c r="G24" s="353"/>
      <c r="H24" s="354">
        <f ca="1">IFERROR(__xludf.DUMMYFUNCTION("""COMPUTED_VALUE"""),1)</f>
        <v>1</v>
      </c>
      <c r="I24" s="353" t="str">
        <f ca="1">IFERROR(__xludf.DUMMYFUNCTION("""COMPUTED_VALUE"""),"KI")</f>
        <v>KI</v>
      </c>
      <c r="J24" s="353" t="str">
        <f ca="1">IFERROR(__xludf.DUMMYFUNCTION("""COMPUTED_VALUE"""),"Protection Monitoring / Service mapping")</f>
        <v>Protection Monitoring / Service mapping</v>
      </c>
      <c r="K24" s="353" t="str">
        <f ca="1">IFERROR(__xludf.DUMMYFUNCTION("""COMPUTED_VALUE"""),"&lt; 20%")</f>
        <v>&lt; 20%</v>
      </c>
      <c r="L24" s="353" t="str">
        <f ca="1">IFERROR(__xludf.DUMMYFUNCTION("""COMPUTED_VALUE"""),"20% - 30%")</f>
        <v>20% - 30%</v>
      </c>
      <c r="M24" s="353" t="str">
        <f ca="1">IFERROR(__xludf.DUMMYFUNCTION("""COMPUTED_VALUE"""),"30% - 40%")</f>
        <v>30% - 40%</v>
      </c>
      <c r="N24" s="353" t="str">
        <f ca="1">IFERROR(__xludf.DUMMYFUNCTION("""COMPUTED_VALUE"""),"40% - 50%")</f>
        <v>40% - 50%</v>
      </c>
      <c r="O24" s="353" t="str">
        <f ca="1">IFERROR(__xludf.DUMMYFUNCTION("""COMPUTED_VALUE"""),"&gt; 50%")</f>
        <v>&gt; 50%</v>
      </c>
      <c r="P24" s="355"/>
      <c r="Q24" s="287"/>
      <c r="R24" s="287" t="s">
        <v>1679</v>
      </c>
    </row>
    <row r="25" spans="1:22" s="288" customFormat="1" ht="50">
      <c r="A25" s="352">
        <f ca="1">IFERROR(__xludf.DUMMYFUNCTION("""COMPUTED_VALUE"""),79)</f>
        <v>79</v>
      </c>
      <c r="B25" s="353" t="str">
        <f ca="1">IFERROR(__xludf.DUMMYFUNCTION("""COMPUTED_VALUE"""),"Protection")</f>
        <v>Protection</v>
      </c>
      <c r="C25" s="353" t="str">
        <f ca="1">IFERROR(__xludf.DUMMYFUNCTION("""COMPUTED_VALUE"""),"MA")</f>
        <v>MA</v>
      </c>
      <c r="D25" s="353" t="str">
        <f ca="1">IFERROR(__xludf.DUMMYFUNCTION("""COMPUTED_VALUE"""),"Humanitarian Conditions")</f>
        <v>Humanitarian Conditions</v>
      </c>
      <c r="E25" s="353" t="str">
        <f ca="1">IFERROR(__xludf.DUMMYFUNCTION("""COMPUTED_VALUE"""),"Living Standards")</f>
        <v>Living Standards</v>
      </c>
      <c r="F25" s="353" t="str">
        <f ca="1">IFERROR(__xludf.DUMMYFUNCTION("""COMPUTED_VALUE"""),"% of persons (SADD) who have reduced access to land, resources or livelihood due to EO contamination")</f>
        <v>% of persons (SADD) who have reduced access to land, resources or livelihood due to EO contamination</v>
      </c>
      <c r="G25" s="353"/>
      <c r="H25" s="354">
        <f ca="1">IFERROR(__xludf.DUMMYFUNCTION("""COMPUTED_VALUE"""),2)</f>
        <v>2</v>
      </c>
      <c r="I25" s="353" t="str">
        <f ca="1">IFERROR(__xludf.DUMMYFUNCTION("""COMPUTED_VALUE"""),"HH Survey / KI")</f>
        <v>HH Survey / KI</v>
      </c>
      <c r="J25" s="353" t="str">
        <f ca="1">IFERROR(__xludf.DUMMYFUNCTION("""COMPUTED_VALUE"""),"MSNA / Protection Monitoring")</f>
        <v>MSNA / Protection Monitoring</v>
      </c>
      <c r="K25" s="353" t="str">
        <f ca="1">IFERROR(__xludf.DUMMYFUNCTION("""COMPUTED_VALUE"""),"&lt; 20%")</f>
        <v>&lt; 20%</v>
      </c>
      <c r="L25" s="353" t="str">
        <f ca="1">IFERROR(__xludf.DUMMYFUNCTION("""COMPUTED_VALUE"""),"20-40%")</f>
        <v>20-40%</v>
      </c>
      <c r="M25" s="353" t="str">
        <f ca="1">IFERROR(__xludf.DUMMYFUNCTION("""COMPUTED_VALUE"""),"40-60%")</f>
        <v>40-60%</v>
      </c>
      <c r="N25" s="353" t="str">
        <f ca="1">IFERROR(__xludf.DUMMYFUNCTION("""COMPUTED_VALUE"""),"60-80%")</f>
        <v>60-80%</v>
      </c>
      <c r="O25" s="353" t="str">
        <f ca="1">IFERROR(__xludf.DUMMYFUNCTION("""COMPUTED_VALUE"""),"80% &gt;")</f>
        <v>80% &gt;</v>
      </c>
      <c r="P25" s="355"/>
      <c r="Q25" s="287"/>
      <c r="R25" s="287" t="s">
        <v>1680</v>
      </c>
    </row>
    <row r="26" spans="1:22" s="288" customFormat="1" ht="50">
      <c r="A26" s="352">
        <f ca="1">IFERROR(__xludf.DUMMYFUNCTION("""COMPUTED_VALUE"""),80)</f>
        <v>80</v>
      </c>
      <c r="B26" s="353" t="str">
        <f ca="1">IFERROR(__xludf.DUMMYFUNCTION("""COMPUTED_VALUE"""),"Protection")</f>
        <v>Protection</v>
      </c>
      <c r="C26" s="353" t="str">
        <f ca="1">IFERROR(__xludf.DUMMYFUNCTION("""COMPUTED_VALUE"""),"MA")</f>
        <v>MA</v>
      </c>
      <c r="D26" s="353" t="str">
        <f ca="1">IFERROR(__xludf.DUMMYFUNCTION("""COMPUTED_VALUE"""),"Humanitarian Conditions")</f>
        <v>Humanitarian Conditions</v>
      </c>
      <c r="E26" s="353" t="str">
        <f ca="1">IFERROR(__xludf.DUMMYFUNCTION("""COMPUTED_VALUE"""),"Living Standards")</f>
        <v>Living Standards</v>
      </c>
      <c r="F26" s="353" t="str">
        <f ca="1">IFERROR(__xludf.DUMMYFUNCTION("""COMPUTED_VALUE"""),"% of persons (SADD) without access to core Victims Assistance services by community")</f>
        <v>% of persons (SADD) without access to core Victims Assistance services by community</v>
      </c>
      <c r="G26" s="353"/>
      <c r="H26" s="354">
        <f ca="1">IFERROR(__xludf.DUMMYFUNCTION("""COMPUTED_VALUE"""),2)</f>
        <v>2</v>
      </c>
      <c r="I26" s="353" t="str">
        <f ca="1">IFERROR(__xludf.DUMMYFUNCTION("""COMPUTED_VALUE"""),"KI")</f>
        <v>KI</v>
      </c>
      <c r="J26" s="353" t="str">
        <f ca="1">IFERROR(__xludf.DUMMYFUNCTION("""COMPUTED_VALUE"""),"Protection Monitoring / Service mapping")</f>
        <v>Protection Monitoring / Service mapping</v>
      </c>
      <c r="K26" s="353" t="str">
        <f ca="1">IFERROR(__xludf.DUMMYFUNCTION("""COMPUTED_VALUE"""),"&lt; 20%")</f>
        <v>&lt; 20%</v>
      </c>
      <c r="L26" s="353" t="str">
        <f ca="1">IFERROR(__xludf.DUMMYFUNCTION("""COMPUTED_VALUE"""),"20% - 30%")</f>
        <v>20% - 30%</v>
      </c>
      <c r="M26" s="353" t="str">
        <f ca="1">IFERROR(__xludf.DUMMYFUNCTION("""COMPUTED_VALUE"""),"30% - 40%")</f>
        <v>30% - 40%</v>
      </c>
      <c r="N26" s="353" t="str">
        <f ca="1">IFERROR(__xludf.DUMMYFUNCTION("""COMPUTED_VALUE"""),"40% - 50%")</f>
        <v>40% - 50%</v>
      </c>
      <c r="O26" s="353" t="str">
        <f ca="1">IFERROR(__xludf.DUMMYFUNCTION("""COMPUTED_VALUE"""),"&gt; 50%")</f>
        <v>&gt; 50%</v>
      </c>
      <c r="P26" s="355"/>
      <c r="Q26" s="287"/>
      <c r="R26" s="287" t="s">
        <v>1681</v>
      </c>
    </row>
    <row r="27" spans="1:22" s="288" customFormat="1" ht="62.5">
      <c r="A27" s="352">
        <f ca="1">IFERROR(__xludf.DUMMYFUNCTION("""COMPUTED_VALUE"""),81)</f>
        <v>81</v>
      </c>
      <c r="B27" s="353" t="str">
        <f ca="1">IFERROR(__xludf.DUMMYFUNCTION("""COMPUTED_VALUE"""),"Protection")</f>
        <v>Protection</v>
      </c>
      <c r="C27" s="353" t="str">
        <f ca="1">IFERROR(__xludf.DUMMYFUNCTION("""COMPUTED_VALUE"""),"MA")</f>
        <v>MA</v>
      </c>
      <c r="D27" s="353" t="str">
        <f ca="1">IFERROR(__xludf.DUMMYFUNCTION("""COMPUTED_VALUE"""),"Humanitarian Conditions")</f>
        <v>Humanitarian Conditions</v>
      </c>
      <c r="E27" s="353" t="str">
        <f ca="1">IFERROR(__xludf.DUMMYFUNCTION("""COMPUTED_VALUE"""),"Physical and Mental Wellbeing")</f>
        <v>Physical and Mental Wellbeing</v>
      </c>
      <c r="F27" s="353" t="str">
        <f ca="1">IFERROR(__xludf.DUMMYFUNCTION("""COMPUTED_VALUE"""),"Persons killed or injured by EO by community (SADD)")</f>
        <v>Persons killed or injured by EO by community (SADD)</v>
      </c>
      <c r="G27" s="353"/>
      <c r="H27" s="354">
        <f ca="1">IFERROR(__xludf.DUMMYFUNCTION("""COMPUTED_VALUE"""),1)</f>
        <v>1</v>
      </c>
      <c r="I27" s="353" t="str">
        <f ca="1">IFERROR(__xludf.DUMMYFUNCTION("""COMPUTED_VALUE"""),"KI")</f>
        <v>KI</v>
      </c>
      <c r="J27" s="353" t="str">
        <f ca="1">IFERROR(__xludf.DUMMYFUNCTION("""COMPUTED_VALUE"""),"MA IM Systems")</f>
        <v>MA IM Systems</v>
      </c>
      <c r="K27" s="353"/>
      <c r="L27" s="353"/>
      <c r="M27" s="353"/>
      <c r="N27" s="353"/>
      <c r="O27" s="353"/>
      <c r="P27" s="356"/>
      <c r="Q27" s="287"/>
      <c r="R27" s="287" t="s">
        <v>1682</v>
      </c>
    </row>
    <row r="28" spans="1:22" s="288" customFormat="1" ht="62.5">
      <c r="A28" s="352">
        <f ca="1">IFERROR(__xludf.DUMMYFUNCTION("""COMPUTED_VALUE"""),82)</f>
        <v>82</v>
      </c>
      <c r="B28" s="353" t="str">
        <f ca="1">IFERROR(__xludf.DUMMYFUNCTION("""COMPUTED_VALUE"""),"Protection")</f>
        <v>Protection</v>
      </c>
      <c r="C28" s="353" t="str">
        <f ca="1">IFERROR(__xludf.DUMMYFUNCTION("""COMPUTED_VALUE"""),"MA")</f>
        <v>MA</v>
      </c>
      <c r="D28" s="353" t="str">
        <f ca="1">IFERROR(__xludf.DUMMYFUNCTION("""COMPUTED_VALUE"""),"Humanitarian Conditions")</f>
        <v>Humanitarian Conditions</v>
      </c>
      <c r="E28" s="353" t="str">
        <f ca="1">IFERROR(__xludf.DUMMYFUNCTION("""COMPUTED_VALUE"""),"Physical and Mental Wellbeing")</f>
        <v>Physical and Mental Wellbeing</v>
      </c>
      <c r="F28" s="353" t="str">
        <f ca="1">IFERROR(__xludf.DUMMYFUNCTION("""COMPUTED_VALUE"""),"Persons living or returning to areas with EO contamination (SADD)")</f>
        <v>Persons living or returning to areas with EO contamination (SADD)</v>
      </c>
      <c r="G28" s="353"/>
      <c r="H28" s="354">
        <f ca="1">IFERROR(__xludf.DUMMYFUNCTION("""COMPUTED_VALUE"""),1)</f>
        <v>1</v>
      </c>
      <c r="I28" s="353" t="str">
        <f ca="1">IFERROR(__xludf.DUMMYFUNCTION("""COMPUTED_VALUE"""),"KI")</f>
        <v>KI</v>
      </c>
      <c r="J28" s="353" t="str">
        <f ca="1">IFERROR(__xludf.DUMMYFUNCTION("""COMPUTED_VALUE"""),"MA IM Systems")</f>
        <v>MA IM Systems</v>
      </c>
      <c r="K28" s="353" t="str">
        <f ca="1">IFERROR(__xludf.DUMMYFUNCTION("""COMPUTED_VALUE"""),"&lt;5%")</f>
        <v>&lt;5%</v>
      </c>
      <c r="L28" s="353" t="str">
        <f ca="1">IFERROR(__xludf.DUMMYFUNCTION("""COMPUTED_VALUE"""),"5-10%")</f>
        <v>5-10%</v>
      </c>
      <c r="M28" s="353" t="str">
        <f ca="1">IFERROR(__xludf.DUMMYFUNCTION("""COMPUTED_VALUE"""),"11 to 20 %")</f>
        <v>11 to 20 %</v>
      </c>
      <c r="N28" s="353" t="str">
        <f ca="1">IFERROR(__xludf.DUMMYFUNCTION("""COMPUTED_VALUE"""),"21-30 %")</f>
        <v>21-30 %</v>
      </c>
      <c r="O28" s="353" t="str">
        <f ca="1">IFERROR(__xludf.DUMMYFUNCTION("""COMPUTED_VALUE"""),"Above 30 %")</f>
        <v>Above 30 %</v>
      </c>
      <c r="P28" s="355"/>
      <c r="Q28" s="287"/>
      <c r="R28" s="287" t="s">
        <v>1683</v>
      </c>
    </row>
    <row r="29" spans="1:22" s="288" customFormat="1" ht="62.5">
      <c r="A29" s="352">
        <f ca="1">IFERROR(__xludf.DUMMYFUNCTION("""COMPUTED_VALUE"""),83)</f>
        <v>83</v>
      </c>
      <c r="B29" s="353" t="str">
        <f ca="1">IFERROR(__xludf.DUMMYFUNCTION("""COMPUTED_VALUE"""),"Protection")</f>
        <v>Protection</v>
      </c>
      <c r="C29" s="353" t="str">
        <f ca="1">IFERROR(__xludf.DUMMYFUNCTION("""COMPUTED_VALUE"""),"MA")</f>
        <v>MA</v>
      </c>
      <c r="D29" s="353" t="str">
        <f ca="1">IFERROR(__xludf.DUMMYFUNCTION("""COMPUTED_VALUE"""),"Humanitarian Conditions")</f>
        <v>Humanitarian Conditions</v>
      </c>
      <c r="E29" s="353" t="str">
        <f ca="1">IFERROR(__xludf.DUMMYFUNCTION("""COMPUTED_VALUE"""),"Physical and Mental Wellbeing")</f>
        <v>Physical and Mental Wellbeing</v>
      </c>
      <c r="F29" s="353" t="str">
        <f ca="1">IFERROR(__xludf.DUMMYFUNCTION("""COMPUTED_VALUE"""),"% of persons (SADD) fearing presence of EO")</f>
        <v>% of persons (SADD) fearing presence of EO</v>
      </c>
      <c r="G29" s="353"/>
      <c r="H29" s="354">
        <f ca="1">IFERROR(__xludf.DUMMYFUNCTION("""COMPUTED_VALUE"""),2)</f>
        <v>2</v>
      </c>
      <c r="I29" s="353" t="str">
        <f ca="1">IFERROR(__xludf.DUMMYFUNCTION("""COMPUTED_VALUE"""),"HH Survey / KI")</f>
        <v>HH Survey / KI</v>
      </c>
      <c r="J29" s="353" t="str">
        <f ca="1">IFERROR(__xludf.DUMMYFUNCTION("""COMPUTED_VALUE"""),"MSNA / Protection Monitoring")</f>
        <v>MSNA / Protection Monitoring</v>
      </c>
      <c r="K29" s="353" t="str">
        <f ca="1">IFERROR(__xludf.DUMMYFUNCTION("""COMPUTED_VALUE"""),"&lt;5%")</f>
        <v>&lt;5%</v>
      </c>
      <c r="L29" s="353" t="str">
        <f ca="1">IFERROR(__xludf.DUMMYFUNCTION("""COMPUTED_VALUE"""),"5-10%")</f>
        <v>5-10%</v>
      </c>
      <c r="M29" s="353" t="str">
        <f ca="1">IFERROR(__xludf.DUMMYFUNCTION("""COMPUTED_VALUE"""),"11 to 20 %")</f>
        <v>11 to 20 %</v>
      </c>
      <c r="N29" s="353" t="str">
        <f ca="1">IFERROR(__xludf.DUMMYFUNCTION("""COMPUTED_VALUE"""),"21-30 %")</f>
        <v>21-30 %</v>
      </c>
      <c r="O29" s="353" t="str">
        <f ca="1">IFERROR(__xludf.DUMMYFUNCTION("""COMPUTED_VALUE"""),"Above 30 %")</f>
        <v>Above 30 %</v>
      </c>
      <c r="P29" s="355"/>
      <c r="Q29" s="287"/>
      <c r="R29" s="287" t="s">
        <v>1683</v>
      </c>
    </row>
    <row r="30" spans="1:22" s="288" customFormat="1" ht="100">
      <c r="A30" s="352">
        <f ca="1">IFERROR(__xludf.DUMMYFUNCTION("""COMPUTED_VALUE"""),84)</f>
        <v>84</v>
      </c>
      <c r="B30" s="353" t="str">
        <f ca="1">IFERROR(__xludf.DUMMYFUNCTION("""COMPUTED_VALUE"""),"Protection")</f>
        <v>Protection</v>
      </c>
      <c r="C30" s="353" t="str">
        <f ca="1">IFERROR(__xludf.DUMMYFUNCTION("""COMPUTED_VALUE"""),"MA")</f>
        <v>MA</v>
      </c>
      <c r="D30" s="353" t="str">
        <f ca="1">IFERROR(__xludf.DUMMYFUNCTION("""COMPUTED_VALUE"""),"Humanitarian Conditions")</f>
        <v>Humanitarian Conditions</v>
      </c>
      <c r="E30" s="353" t="str">
        <f ca="1">IFERROR(__xludf.DUMMYFUNCTION("""COMPUTED_VALUE"""),"Physical and Mental Wellbeing")</f>
        <v>Physical and Mental Wellbeing</v>
      </c>
      <c r="F30" s="353" t="str">
        <f ca="1">IFERROR(__xludf.DUMMYFUNCTION("""COMPUTED_VALUE"""),"% of persons whose disability is related to an explosive hazard by community (SADD)")</f>
        <v>% of persons whose disability is related to an explosive hazard by community (SADD)</v>
      </c>
      <c r="G30" s="353"/>
      <c r="H30" s="354">
        <f ca="1">IFERROR(__xludf.DUMMYFUNCTION("""COMPUTED_VALUE"""),1)</f>
        <v>1</v>
      </c>
      <c r="I30" s="353" t="str">
        <f ca="1">IFERROR(__xludf.DUMMYFUNCTION("""COMPUTED_VALUE"""),"HH Survey / KI")</f>
        <v>HH Survey / KI</v>
      </c>
      <c r="J30" s="353" t="str">
        <f ca="1">IFERROR(__xludf.DUMMYFUNCTION("""COMPUTED_VALUE"""),"MSNA / Protection Monitoring")</f>
        <v>MSNA / Protection Monitoring</v>
      </c>
      <c r="K30" s="353" t="str">
        <f ca="1">IFERROR(__xludf.DUMMYFUNCTION("""COMPUTED_VALUE"""),"No explosive ordnance
disability in the HH")</f>
        <v>No explosive ordnance
disability in the HH</v>
      </c>
      <c r="L30" s="353" t="str">
        <f ca="1">IFERROR(__xludf.DUMMYFUNCTION("""COMPUTED_VALUE"""),"No explosive ordnance
disability in the HH")</f>
        <v>No explosive ordnance
disability in the HH</v>
      </c>
      <c r="M30" s="353" t="str">
        <f ca="1">IFERROR(__xludf.DUMMYFUNCTION("""COMPUTED_VALUE"""),"No explosive ordnance
disability in the HH")</f>
        <v>No explosive ordnance
disability in the HH</v>
      </c>
      <c r="N30" s="353" t="str">
        <f ca="1">IFERROR(__xludf.DUMMYFUNCTION("""COMPUTED_VALUE"""),"HH member has disability with
a (a lot of difficulty) due to
explosive ordnance")</f>
        <v>HH member has disability with
a (a lot of difficulty) due to
explosive ordnance</v>
      </c>
      <c r="O30" s="353" t="str">
        <f ca="1">IFERROR(__xludf.DUMMYFUNCTION("""COMPUTED_VALUE"""),"HH member has disability with
(cannot do at all) due to
explosive ordnance")</f>
        <v>HH member has disability with
(cannot do at all) due to
explosive ordnance</v>
      </c>
      <c r="P30" s="356"/>
      <c r="Q30" s="287"/>
      <c r="R30" s="287" t="s">
        <v>1684</v>
      </c>
    </row>
    <row r="31" spans="1:22" ht="57.5">
      <c r="A31" s="276">
        <v>85</v>
      </c>
      <c r="B31" s="277" t="s">
        <v>231</v>
      </c>
      <c r="C31" s="277" t="s">
        <v>1309</v>
      </c>
      <c r="D31" s="277" t="s">
        <v>1156</v>
      </c>
      <c r="E31" s="277" t="s">
        <v>1188</v>
      </c>
      <c r="F31" s="277" t="s">
        <v>1310</v>
      </c>
      <c r="G31" s="270"/>
      <c r="H31" s="277">
        <v>1</v>
      </c>
      <c r="I31" s="277" t="s">
        <v>1250</v>
      </c>
      <c r="J31" s="277" t="s">
        <v>1248</v>
      </c>
      <c r="K31" s="277"/>
      <c r="L31" s="277"/>
      <c r="M31" s="277"/>
      <c r="N31" s="277"/>
      <c r="O31" s="277"/>
      <c r="P31" s="277"/>
      <c r="Q31" s="290" t="s">
        <v>1358</v>
      </c>
      <c r="R31" s="290" t="s">
        <v>1361</v>
      </c>
      <c r="T31" s="422" t="s">
        <v>1394</v>
      </c>
      <c r="U31" s="422"/>
      <c r="V31" s="422"/>
    </row>
    <row r="32" spans="1:22" ht="149.5">
      <c r="A32" s="276">
        <v>86</v>
      </c>
      <c r="B32" s="277" t="s">
        <v>231</v>
      </c>
      <c r="C32" s="277" t="s">
        <v>231</v>
      </c>
      <c r="D32" s="277" t="s">
        <v>1156</v>
      </c>
      <c r="E32" s="277" t="s">
        <v>1157</v>
      </c>
      <c r="F32" s="277" t="s">
        <v>1311</v>
      </c>
      <c r="G32" s="270"/>
      <c r="H32" s="277">
        <v>1</v>
      </c>
      <c r="I32" s="277" t="s">
        <v>1247</v>
      </c>
      <c r="J32" s="277" t="s">
        <v>1248</v>
      </c>
      <c r="K32" s="277" t="s">
        <v>1312</v>
      </c>
      <c r="L32" s="277" t="s">
        <v>1312</v>
      </c>
      <c r="M32" s="277" t="s">
        <v>1313</v>
      </c>
      <c r="N32" s="277" t="s">
        <v>1314</v>
      </c>
      <c r="O32" s="277" t="s">
        <v>1315</v>
      </c>
      <c r="P32" s="277"/>
      <c r="Q32" s="290" t="s">
        <v>1358</v>
      </c>
      <c r="R32" s="290" t="s">
        <v>1360</v>
      </c>
    </row>
    <row r="33" spans="1:18" ht="138">
      <c r="A33" s="276">
        <v>87</v>
      </c>
      <c r="B33" s="277" t="s">
        <v>231</v>
      </c>
      <c r="C33" s="277" t="s">
        <v>231</v>
      </c>
      <c r="D33" s="277" t="s">
        <v>1156</v>
      </c>
      <c r="E33" s="277" t="s">
        <v>1046</v>
      </c>
      <c r="F33" s="277" t="s">
        <v>1316</v>
      </c>
      <c r="G33" s="270"/>
      <c r="H33" s="277">
        <v>1</v>
      </c>
      <c r="I33" s="277" t="s">
        <v>1247</v>
      </c>
      <c r="J33" s="277" t="s">
        <v>1248</v>
      </c>
      <c r="K33" s="277" t="s">
        <v>1317</v>
      </c>
      <c r="L33" s="277" t="s">
        <v>1318</v>
      </c>
      <c r="M33" s="277" t="s">
        <v>1319</v>
      </c>
      <c r="N33" s="277" t="s">
        <v>1320</v>
      </c>
      <c r="O33" s="277" t="s">
        <v>1321</v>
      </c>
      <c r="P33" s="277"/>
      <c r="Q33" s="290" t="s">
        <v>1358</v>
      </c>
      <c r="R33" s="290" t="s">
        <v>1359</v>
      </c>
    </row>
    <row r="34" spans="1:18" s="288" customFormat="1" ht="46">
      <c r="A34" s="276">
        <v>88</v>
      </c>
      <c r="B34" s="277" t="s">
        <v>231</v>
      </c>
      <c r="C34" s="277" t="s">
        <v>231</v>
      </c>
      <c r="D34" s="277" t="s">
        <v>1156</v>
      </c>
      <c r="E34" s="277" t="s">
        <v>1046</v>
      </c>
      <c r="F34" s="277" t="s">
        <v>1322</v>
      </c>
      <c r="G34" s="252"/>
      <c r="H34" s="277">
        <v>2</v>
      </c>
      <c r="I34" s="277" t="s">
        <v>1247</v>
      </c>
      <c r="J34" s="277" t="s">
        <v>1248</v>
      </c>
      <c r="K34" s="277" t="s">
        <v>1275</v>
      </c>
      <c r="L34" s="277" t="s">
        <v>1276</v>
      </c>
      <c r="M34" s="277" t="s">
        <v>1277</v>
      </c>
      <c r="N34" s="277" t="s">
        <v>1278</v>
      </c>
      <c r="O34" s="277" t="s">
        <v>1279</v>
      </c>
      <c r="P34" s="277"/>
      <c r="Q34" s="287"/>
      <c r="R34" s="287"/>
    </row>
    <row r="35" spans="1:18" ht="115">
      <c r="A35" s="276">
        <v>89</v>
      </c>
      <c r="B35" s="277" t="s">
        <v>231</v>
      </c>
      <c r="C35" s="277" t="s">
        <v>231</v>
      </c>
      <c r="D35" s="277" t="s">
        <v>1156</v>
      </c>
      <c r="E35" s="277" t="s">
        <v>1046</v>
      </c>
      <c r="F35" s="277" t="s">
        <v>1323</v>
      </c>
      <c r="G35" s="270"/>
      <c r="H35" s="277">
        <v>1</v>
      </c>
      <c r="I35" s="277" t="s">
        <v>1250</v>
      </c>
      <c r="J35" s="277" t="s">
        <v>1248</v>
      </c>
      <c r="K35" s="277" t="s">
        <v>1324</v>
      </c>
      <c r="L35" s="277" t="s">
        <v>1325</v>
      </c>
      <c r="M35" s="277" t="s">
        <v>1326</v>
      </c>
      <c r="N35" s="277" t="s">
        <v>1327</v>
      </c>
      <c r="O35" s="277" t="s">
        <v>1328</v>
      </c>
      <c r="P35" s="277"/>
      <c r="Q35" s="290" t="s">
        <v>1358</v>
      </c>
      <c r="R35" s="290" t="s">
        <v>1357</v>
      </c>
    </row>
    <row r="36" spans="1:18" s="288" customFormat="1" ht="46">
      <c r="A36" s="276">
        <v>90</v>
      </c>
      <c r="B36" s="277" t="s">
        <v>231</v>
      </c>
      <c r="C36" s="277" t="s">
        <v>231</v>
      </c>
      <c r="D36" s="277" t="s">
        <v>1156</v>
      </c>
      <c r="E36" s="277" t="s">
        <v>1046</v>
      </c>
      <c r="F36" s="277" t="s">
        <v>1329</v>
      </c>
      <c r="G36" s="252"/>
      <c r="H36" s="277">
        <v>2</v>
      </c>
      <c r="I36" s="277" t="s">
        <v>1250</v>
      </c>
      <c r="J36" s="277" t="s">
        <v>1330</v>
      </c>
      <c r="K36" s="277" t="s">
        <v>1275</v>
      </c>
      <c r="L36" s="277" t="s">
        <v>1276</v>
      </c>
      <c r="M36" s="277" t="s">
        <v>1277</v>
      </c>
      <c r="N36" s="277" t="s">
        <v>1278</v>
      </c>
      <c r="O36" s="277" t="s">
        <v>1279</v>
      </c>
      <c r="P36" s="277"/>
      <c r="Q36" s="287"/>
      <c r="R36" s="287"/>
    </row>
    <row r="37" spans="1:18" s="288" customFormat="1" ht="46">
      <c r="A37" s="276">
        <v>91</v>
      </c>
      <c r="B37" s="277" t="s">
        <v>231</v>
      </c>
      <c r="C37" s="277" t="s">
        <v>231</v>
      </c>
      <c r="D37" s="277" t="s">
        <v>1156</v>
      </c>
      <c r="E37" s="277" t="s">
        <v>1046</v>
      </c>
      <c r="F37" s="277" t="s">
        <v>1331</v>
      </c>
      <c r="G37" s="252"/>
      <c r="H37" s="277">
        <v>1</v>
      </c>
      <c r="I37" s="277" t="s">
        <v>1240</v>
      </c>
      <c r="J37" s="277" t="s">
        <v>1332</v>
      </c>
      <c r="K37" s="277" t="s">
        <v>1287</v>
      </c>
      <c r="L37" s="277" t="s">
        <v>1333</v>
      </c>
      <c r="M37" s="277" t="s">
        <v>1334</v>
      </c>
      <c r="N37" s="277" t="s">
        <v>1335</v>
      </c>
      <c r="O37" s="277" t="s">
        <v>1336</v>
      </c>
      <c r="P37" s="277"/>
      <c r="Q37" s="287"/>
      <c r="R37" s="287"/>
    </row>
    <row r="38" spans="1:18" s="288" customFormat="1" ht="57.5">
      <c r="A38" s="276">
        <v>92</v>
      </c>
      <c r="B38" s="277" t="s">
        <v>231</v>
      </c>
      <c r="C38" s="277" t="s">
        <v>231</v>
      </c>
      <c r="D38" s="277" t="s">
        <v>1156</v>
      </c>
      <c r="E38" s="277" t="s">
        <v>1188</v>
      </c>
      <c r="F38" s="277" t="s">
        <v>1337</v>
      </c>
      <c r="G38" s="252"/>
      <c r="H38" s="277">
        <v>1</v>
      </c>
      <c r="I38" s="277" t="s">
        <v>1240</v>
      </c>
      <c r="J38" s="277" t="s">
        <v>1338</v>
      </c>
      <c r="K38" s="277"/>
      <c r="L38" s="277"/>
      <c r="M38" s="277"/>
      <c r="N38" s="277"/>
      <c r="O38" s="277"/>
      <c r="P38" s="277"/>
      <c r="Q38" s="287"/>
      <c r="R38" s="287"/>
    </row>
    <row r="39" spans="1:18" s="288" customFormat="1" ht="57.5">
      <c r="A39" s="276">
        <v>93</v>
      </c>
      <c r="B39" s="277" t="s">
        <v>231</v>
      </c>
      <c r="C39" s="277" t="s">
        <v>231</v>
      </c>
      <c r="D39" s="277" t="s">
        <v>1156</v>
      </c>
      <c r="E39" s="277" t="s">
        <v>1188</v>
      </c>
      <c r="F39" s="277" t="s">
        <v>1339</v>
      </c>
      <c r="G39" s="252"/>
      <c r="H39" s="277">
        <v>1</v>
      </c>
      <c r="I39" s="277" t="s">
        <v>1240</v>
      </c>
      <c r="J39" s="277" t="s">
        <v>1332</v>
      </c>
      <c r="K39" s="277" t="s">
        <v>1275</v>
      </c>
      <c r="L39" s="277" t="s">
        <v>1276</v>
      </c>
      <c r="M39" s="277" t="s">
        <v>1277</v>
      </c>
      <c r="N39" s="277" t="s">
        <v>1278</v>
      </c>
      <c r="O39" s="277" t="s">
        <v>1279</v>
      </c>
      <c r="P39" s="277"/>
      <c r="Q39" s="287"/>
      <c r="R39" s="287"/>
    </row>
    <row r="40" spans="1:18" s="288" customFormat="1" ht="184">
      <c r="A40" s="276">
        <v>94</v>
      </c>
      <c r="B40" s="277" t="s">
        <v>231</v>
      </c>
      <c r="C40" s="277" t="s">
        <v>231</v>
      </c>
      <c r="D40" s="277" t="s">
        <v>1156</v>
      </c>
      <c r="E40" s="277" t="s">
        <v>1188</v>
      </c>
      <c r="F40" s="277" t="s">
        <v>1340</v>
      </c>
      <c r="G40" s="252"/>
      <c r="H40" s="277">
        <v>1</v>
      </c>
      <c r="I40" s="277" t="s">
        <v>1250</v>
      </c>
      <c r="J40" s="277" t="s">
        <v>1341</v>
      </c>
      <c r="K40" s="277" t="s">
        <v>1342</v>
      </c>
      <c r="L40" s="277" t="s">
        <v>1343</v>
      </c>
      <c r="M40" s="277" t="s">
        <v>1344</v>
      </c>
      <c r="N40" s="277" t="s">
        <v>1345</v>
      </c>
      <c r="O40" s="277" t="s">
        <v>1346</v>
      </c>
      <c r="P40" s="277" t="s">
        <v>1347</v>
      </c>
      <c r="Q40" s="287"/>
      <c r="R40" s="287"/>
    </row>
    <row r="41" spans="1:18" s="288" customFormat="1" ht="207">
      <c r="A41" s="276">
        <v>95</v>
      </c>
      <c r="B41" s="277" t="s">
        <v>231</v>
      </c>
      <c r="C41" s="277" t="s">
        <v>231</v>
      </c>
      <c r="D41" s="277" t="s">
        <v>1156</v>
      </c>
      <c r="E41" s="277" t="s">
        <v>1188</v>
      </c>
      <c r="F41" s="277" t="s">
        <v>1348</v>
      </c>
      <c r="G41" s="252"/>
      <c r="H41" s="277">
        <v>1</v>
      </c>
      <c r="I41" s="277" t="s">
        <v>1250</v>
      </c>
      <c r="J41" s="277" t="s">
        <v>1248</v>
      </c>
      <c r="K41" s="277" t="s">
        <v>1349</v>
      </c>
      <c r="L41" s="277" t="s">
        <v>1350</v>
      </c>
      <c r="M41" s="277" t="s">
        <v>1351</v>
      </c>
      <c r="N41" s="277" t="s">
        <v>1352</v>
      </c>
      <c r="O41" s="277" t="s">
        <v>1353</v>
      </c>
      <c r="P41" s="277" t="s">
        <v>1354</v>
      </c>
      <c r="Q41" s="287"/>
      <c r="R41" s="287"/>
    </row>
    <row r="44" spans="1:18" ht="15" thickBot="1"/>
    <row r="45" spans="1:18" ht="15.5">
      <c r="C45" s="964" t="s">
        <v>1033</v>
      </c>
      <c r="D45" s="964" t="s">
        <v>377</v>
      </c>
      <c r="E45" s="965" t="s">
        <v>1857</v>
      </c>
      <c r="F45" s="966" t="s">
        <v>1858</v>
      </c>
      <c r="G45" s="967" t="s">
        <v>1859</v>
      </c>
      <c r="H45" s="968"/>
      <c r="I45" s="968"/>
      <c r="J45" s="968"/>
      <c r="K45" s="969"/>
      <c r="L45" s="963" t="s">
        <v>1860</v>
      </c>
    </row>
    <row r="46" spans="1:18" ht="15.5">
      <c r="C46" s="964"/>
      <c r="D46" s="964"/>
      <c r="E46" s="965"/>
      <c r="F46" s="966"/>
      <c r="G46" s="411">
        <v>1</v>
      </c>
      <c r="H46" s="409">
        <v>2</v>
      </c>
      <c r="I46" s="409">
        <v>3</v>
      </c>
      <c r="J46" s="409">
        <v>4</v>
      </c>
      <c r="K46" s="416">
        <v>5</v>
      </c>
      <c r="L46" s="963"/>
    </row>
    <row r="47" spans="1:18" ht="144">
      <c r="C47" s="407" t="s">
        <v>1267</v>
      </c>
      <c r="D47" s="407" t="s">
        <v>1727</v>
      </c>
      <c r="E47" s="408" t="s">
        <v>1861</v>
      </c>
      <c r="F47" s="410" t="s">
        <v>1274</v>
      </c>
      <c r="G47" s="408" t="s">
        <v>1862</v>
      </c>
      <c r="H47" s="408" t="s">
        <v>9</v>
      </c>
      <c r="I47" s="408" t="s">
        <v>1863</v>
      </c>
      <c r="J47" s="408" t="s">
        <v>9</v>
      </c>
      <c r="K47" s="410" t="s">
        <v>9</v>
      </c>
      <c r="L47" s="418"/>
    </row>
    <row r="48" spans="1:18" ht="144">
      <c r="C48" s="407" t="s">
        <v>1267</v>
      </c>
      <c r="D48" s="407" t="s">
        <v>1727</v>
      </c>
      <c r="E48" s="408" t="s">
        <v>1864</v>
      </c>
      <c r="F48" s="410" t="s">
        <v>1865</v>
      </c>
      <c r="G48" s="412" t="s">
        <v>945</v>
      </c>
      <c r="H48" s="408" t="s">
        <v>946</v>
      </c>
      <c r="I48" s="408" t="s">
        <v>947</v>
      </c>
      <c r="J48" s="408" t="s">
        <v>948</v>
      </c>
      <c r="K48" s="410" t="s">
        <v>949</v>
      </c>
      <c r="L48" s="418" t="s">
        <v>20</v>
      </c>
    </row>
    <row r="49" spans="3:12" ht="132">
      <c r="C49" s="407" t="s">
        <v>1267</v>
      </c>
      <c r="D49" s="407" t="s">
        <v>1727</v>
      </c>
      <c r="E49" s="408" t="s">
        <v>1866</v>
      </c>
      <c r="F49" s="410" t="s">
        <v>1865</v>
      </c>
      <c r="G49" s="412" t="s">
        <v>1867</v>
      </c>
      <c r="H49" s="408" t="s">
        <v>9</v>
      </c>
      <c r="I49" s="408" t="s">
        <v>9</v>
      </c>
      <c r="J49" s="408" t="s">
        <v>9</v>
      </c>
      <c r="K49" s="410" t="s">
        <v>1868</v>
      </c>
      <c r="L49" s="418"/>
    </row>
    <row r="50" spans="3:12" ht="168">
      <c r="C50" s="407" t="s">
        <v>1869</v>
      </c>
      <c r="D50" s="407" t="s">
        <v>1727</v>
      </c>
      <c r="E50" s="408" t="s">
        <v>1870</v>
      </c>
      <c r="F50" s="410" t="s">
        <v>1871</v>
      </c>
      <c r="G50" s="408" t="s">
        <v>1872</v>
      </c>
      <c r="H50" s="408" t="s">
        <v>9</v>
      </c>
      <c r="I50" s="408" t="s">
        <v>1873</v>
      </c>
      <c r="J50" s="408" t="s">
        <v>9</v>
      </c>
      <c r="K50" s="410" t="s">
        <v>9</v>
      </c>
      <c r="L50" s="418"/>
    </row>
    <row r="51" spans="3:12" ht="84">
      <c r="C51" s="407" t="s">
        <v>1874</v>
      </c>
      <c r="D51" s="407" t="s">
        <v>1727</v>
      </c>
      <c r="E51" s="408" t="s">
        <v>1875</v>
      </c>
      <c r="F51" s="410" t="s">
        <v>1876</v>
      </c>
      <c r="G51" s="960" t="s">
        <v>1877</v>
      </c>
      <c r="H51" s="961"/>
      <c r="I51" s="961"/>
      <c r="J51" s="961"/>
      <c r="K51" s="962"/>
      <c r="L51" s="418"/>
    </row>
    <row r="52" spans="3:12" ht="72">
      <c r="C52" s="407" t="s">
        <v>1878</v>
      </c>
      <c r="D52" s="407" t="s">
        <v>1727</v>
      </c>
      <c r="E52" s="408" t="s">
        <v>1879</v>
      </c>
      <c r="F52" s="410" t="s">
        <v>1283</v>
      </c>
      <c r="G52" s="412" t="s">
        <v>887</v>
      </c>
      <c r="H52" s="408" t="s">
        <v>9</v>
      </c>
      <c r="I52" s="408" t="s">
        <v>888</v>
      </c>
      <c r="J52" s="408" t="s">
        <v>9</v>
      </c>
      <c r="K52" s="410" t="s">
        <v>9</v>
      </c>
      <c r="L52" s="418"/>
    </row>
    <row r="53" spans="3:12" ht="276">
      <c r="C53" s="407" t="s">
        <v>1880</v>
      </c>
      <c r="D53" s="407" t="s">
        <v>1727</v>
      </c>
      <c r="E53" s="408" t="s">
        <v>1881</v>
      </c>
      <c r="F53" s="410" t="s">
        <v>1876</v>
      </c>
      <c r="G53" s="412" t="s">
        <v>1882</v>
      </c>
      <c r="H53" s="412" t="s">
        <v>1882</v>
      </c>
      <c r="I53" s="408" t="s">
        <v>1883</v>
      </c>
      <c r="J53" s="408" t="s">
        <v>1884</v>
      </c>
      <c r="K53" s="410" t="s">
        <v>1885</v>
      </c>
      <c r="L53" s="418" t="s">
        <v>803</v>
      </c>
    </row>
    <row r="54" spans="3:12" ht="409.5">
      <c r="C54" s="407" t="s">
        <v>1267</v>
      </c>
      <c r="D54" s="407" t="s">
        <v>1886</v>
      </c>
      <c r="E54" s="408" t="s">
        <v>1887</v>
      </c>
      <c r="F54" s="410" t="s">
        <v>1871</v>
      </c>
      <c r="G54" s="412" t="s">
        <v>1888</v>
      </c>
      <c r="H54" s="408" t="s">
        <v>1888</v>
      </c>
      <c r="I54" s="408" t="s">
        <v>1889</v>
      </c>
      <c r="J54" s="408" t="s">
        <v>1890</v>
      </c>
      <c r="K54" s="410" t="s">
        <v>1891</v>
      </c>
      <c r="L54" s="418"/>
    </row>
    <row r="55" spans="3:12" ht="84.5" thickBot="1">
      <c r="C55" s="407" t="s">
        <v>1267</v>
      </c>
      <c r="D55" s="407" t="s">
        <v>1886</v>
      </c>
      <c r="E55" s="408" t="s">
        <v>1892</v>
      </c>
      <c r="F55" s="410" t="s">
        <v>1283</v>
      </c>
      <c r="G55" s="413">
        <v>0</v>
      </c>
      <c r="H55" s="414">
        <v>0</v>
      </c>
      <c r="I55" s="414" t="s">
        <v>1893</v>
      </c>
      <c r="J55" s="415" t="s">
        <v>1894</v>
      </c>
      <c r="K55" s="417" t="s">
        <v>1695</v>
      </c>
      <c r="L55" s="418"/>
    </row>
  </sheetData>
  <autoFilter ref="A1:R41" xr:uid="{C9A94AB4-13D3-4C0F-96C2-E141EB7EF5E3}"/>
  <mergeCells count="8">
    <mergeCell ref="T1:V1"/>
    <mergeCell ref="G51:K51"/>
    <mergeCell ref="L45:L46"/>
    <mergeCell ref="C45:C46"/>
    <mergeCell ref="D45:D46"/>
    <mergeCell ref="E45:E46"/>
    <mergeCell ref="F45:F46"/>
    <mergeCell ref="G45:K4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7E439-F4FF-44B6-99DB-14B9A3D05149}">
  <dimension ref="A1:P34"/>
  <sheetViews>
    <sheetView topLeftCell="A31" zoomScaleNormal="85" workbookViewId="0">
      <selection activeCell="C31" sqref="C31"/>
    </sheetView>
  </sheetViews>
  <sheetFormatPr defaultColWidth="8.81640625" defaultRowHeight="14.5"/>
  <cols>
    <col min="1" max="8" width="23" style="237" customWidth="1"/>
    <col min="9" max="10" width="9.1796875" style="237" customWidth="1"/>
    <col min="11" max="11" width="23.81640625" style="237" bestFit="1" customWidth="1"/>
    <col min="12" max="12" width="23.6328125" style="237" customWidth="1"/>
    <col min="13" max="14" width="23.81640625" style="237" customWidth="1"/>
    <col min="15" max="16384" width="8.81640625" style="237"/>
  </cols>
  <sheetData>
    <row r="1" spans="1:16" ht="15" thickBot="1"/>
    <row r="2" spans="1:16" ht="15" thickBot="1">
      <c r="A2" s="441" t="s">
        <v>1032</v>
      </c>
      <c r="B2" s="442" t="s">
        <v>1033</v>
      </c>
      <c r="C2" s="442" t="s">
        <v>1034</v>
      </c>
      <c r="D2" s="442" t="s">
        <v>1035</v>
      </c>
      <c r="E2" s="442" t="s">
        <v>1036</v>
      </c>
      <c r="F2" s="442" t="s">
        <v>1037</v>
      </c>
      <c r="G2" s="442" t="s">
        <v>1038</v>
      </c>
      <c r="H2" s="442" t="s">
        <v>1989</v>
      </c>
      <c r="I2" s="443" t="s">
        <v>1990</v>
      </c>
      <c r="J2" s="444" t="s">
        <v>1991</v>
      </c>
      <c r="K2" s="445" t="s">
        <v>1992</v>
      </c>
      <c r="L2" s="446" t="s">
        <v>1993</v>
      </c>
      <c r="M2" s="447" t="s">
        <v>1994</v>
      </c>
      <c r="N2" s="448" t="s">
        <v>1995</v>
      </c>
    </row>
    <row r="3" spans="1:16" ht="15" thickBot="1">
      <c r="A3" s="449">
        <v>96</v>
      </c>
      <c r="B3" s="450" t="s">
        <v>1043</v>
      </c>
      <c r="C3" s="450" t="s">
        <v>1044</v>
      </c>
      <c r="D3" s="450" t="s">
        <v>1045</v>
      </c>
      <c r="E3" s="450" t="s">
        <v>1046</v>
      </c>
      <c r="F3" s="450" t="s">
        <v>1047</v>
      </c>
      <c r="G3" s="450"/>
      <c r="H3" s="450" t="s">
        <v>980</v>
      </c>
      <c r="I3" s="450" t="s">
        <v>1048</v>
      </c>
      <c r="J3" s="450" t="s">
        <v>1049</v>
      </c>
      <c r="K3" s="450" t="s">
        <v>1050</v>
      </c>
      <c r="L3" s="450" t="s">
        <v>1051</v>
      </c>
      <c r="M3" s="450" t="s">
        <v>1052</v>
      </c>
      <c r="N3" s="451" t="s">
        <v>1053</v>
      </c>
      <c r="O3" s="452"/>
      <c r="P3" s="452"/>
    </row>
    <row r="4" spans="1:16" ht="15" thickBot="1">
      <c r="A4" s="453"/>
      <c r="B4" s="453" t="s">
        <v>1043</v>
      </c>
      <c r="C4" s="453" t="s">
        <v>1044</v>
      </c>
      <c r="D4" s="453" t="s">
        <v>1045</v>
      </c>
      <c r="E4" s="453" t="s">
        <v>1046</v>
      </c>
      <c r="F4" s="453" t="s">
        <v>29</v>
      </c>
      <c r="G4" s="454"/>
      <c r="H4" s="453" t="s">
        <v>48</v>
      </c>
      <c r="I4" s="453" t="s">
        <v>1996</v>
      </c>
      <c r="J4" s="453" t="s">
        <v>1997</v>
      </c>
      <c r="K4" s="453" t="s">
        <v>1998</v>
      </c>
      <c r="L4" s="453" t="s">
        <v>1999</v>
      </c>
      <c r="M4" s="453"/>
      <c r="N4" s="453" t="s">
        <v>2000</v>
      </c>
      <c r="O4" s="452"/>
      <c r="P4" s="452"/>
    </row>
    <row r="5" spans="1:16" ht="15" thickBot="1">
      <c r="A5" s="455">
        <v>97</v>
      </c>
      <c r="B5" s="456" t="s">
        <v>1043</v>
      </c>
      <c r="C5" s="456" t="s">
        <v>1044</v>
      </c>
      <c r="D5" s="456" t="s">
        <v>1045</v>
      </c>
      <c r="E5" s="457" t="s">
        <v>1046</v>
      </c>
      <c r="F5" s="456" t="s">
        <v>1054</v>
      </c>
      <c r="G5" s="457"/>
      <c r="H5" s="457" t="s">
        <v>980</v>
      </c>
      <c r="I5" s="456" t="s">
        <v>1055</v>
      </c>
      <c r="J5" s="456" t="s">
        <v>1056</v>
      </c>
      <c r="K5" s="456" t="s">
        <v>1057</v>
      </c>
      <c r="L5" s="456" t="s">
        <v>1058</v>
      </c>
      <c r="M5" s="456" t="s">
        <v>1059</v>
      </c>
      <c r="N5" s="458" t="s">
        <v>1060</v>
      </c>
      <c r="O5" s="452"/>
      <c r="P5" s="452"/>
    </row>
    <row r="6" spans="1:16" ht="15" thickBot="1">
      <c r="A6" s="459">
        <v>98</v>
      </c>
      <c r="B6" s="460" t="s">
        <v>1043</v>
      </c>
      <c r="C6" s="460" t="s">
        <v>1044</v>
      </c>
      <c r="D6" s="460" t="s">
        <v>1045</v>
      </c>
      <c r="E6" s="460" t="s">
        <v>1046</v>
      </c>
      <c r="F6" s="460" t="s">
        <v>1061</v>
      </c>
      <c r="G6" s="460"/>
      <c r="H6" s="450" t="s">
        <v>980</v>
      </c>
      <c r="I6" s="460" t="s">
        <v>1062</v>
      </c>
      <c r="J6" s="460" t="s">
        <v>1063</v>
      </c>
      <c r="K6" s="460" t="s">
        <v>1064</v>
      </c>
      <c r="L6" s="460" t="s">
        <v>1065</v>
      </c>
      <c r="M6" s="460" t="s">
        <v>1066</v>
      </c>
      <c r="N6" s="451" t="s">
        <v>1067</v>
      </c>
      <c r="O6" s="452"/>
      <c r="P6" s="452"/>
    </row>
    <row r="7" spans="1:16" ht="15" thickBot="1">
      <c r="A7" s="459">
        <v>99</v>
      </c>
      <c r="B7" s="460" t="s">
        <v>1043</v>
      </c>
      <c r="C7" s="461" t="s">
        <v>1044</v>
      </c>
      <c r="D7" s="461" t="s">
        <v>1045</v>
      </c>
      <c r="E7" s="460" t="s">
        <v>1046</v>
      </c>
      <c r="F7" s="461" t="s">
        <v>844</v>
      </c>
      <c r="G7" s="460"/>
      <c r="H7" s="450" t="s">
        <v>980</v>
      </c>
      <c r="I7" s="460" t="s">
        <v>1068</v>
      </c>
      <c r="J7" s="460" t="s">
        <v>1069</v>
      </c>
      <c r="K7" s="460" t="s">
        <v>1070</v>
      </c>
      <c r="L7" s="460" t="s">
        <v>1071</v>
      </c>
      <c r="M7" s="460" t="s">
        <v>1072</v>
      </c>
      <c r="N7" s="462" t="s">
        <v>1073</v>
      </c>
      <c r="O7" s="452"/>
      <c r="P7" s="452"/>
    </row>
    <row r="8" spans="1:16" ht="15" thickBot="1">
      <c r="A8" s="459">
        <v>100</v>
      </c>
      <c r="B8" s="460" t="s">
        <v>1043</v>
      </c>
      <c r="C8" s="460" t="s">
        <v>1044</v>
      </c>
      <c r="D8" s="460" t="s">
        <v>1045</v>
      </c>
      <c r="E8" s="460" t="s">
        <v>1046</v>
      </c>
      <c r="F8" s="460" t="s">
        <v>1074</v>
      </c>
      <c r="G8" s="460"/>
      <c r="H8" s="450" t="s">
        <v>980</v>
      </c>
      <c r="I8" s="460" t="s">
        <v>1075</v>
      </c>
      <c r="J8" s="460" t="s">
        <v>1076</v>
      </c>
      <c r="K8" s="460" t="s">
        <v>1077</v>
      </c>
      <c r="L8" s="460" t="s">
        <v>1078</v>
      </c>
      <c r="M8" s="460" t="s">
        <v>1079</v>
      </c>
      <c r="N8" s="462" t="s">
        <v>1080</v>
      </c>
      <c r="O8" s="452"/>
      <c r="P8" s="452"/>
    </row>
    <row r="9" spans="1:16" ht="15" thickBot="1">
      <c r="A9" s="453"/>
      <c r="B9" s="453" t="s">
        <v>1043</v>
      </c>
      <c r="C9" s="453" t="s">
        <v>1044</v>
      </c>
      <c r="D9" s="453" t="s">
        <v>1045</v>
      </c>
      <c r="E9" s="453" t="s">
        <v>1046</v>
      </c>
      <c r="F9" s="453" t="s">
        <v>74</v>
      </c>
      <c r="G9" s="453"/>
      <c r="H9" s="453" t="s">
        <v>48</v>
      </c>
      <c r="I9" s="453" t="s">
        <v>2001</v>
      </c>
      <c r="J9" s="453" t="s">
        <v>2002</v>
      </c>
      <c r="K9" s="453" t="s">
        <v>2003</v>
      </c>
      <c r="L9" s="453" t="s">
        <v>2004</v>
      </c>
      <c r="M9" s="453" t="s">
        <v>2005</v>
      </c>
      <c r="N9" s="453" t="s">
        <v>2006</v>
      </c>
      <c r="O9" s="452"/>
      <c r="P9" s="452"/>
    </row>
    <row r="10" spans="1:16" ht="15" thickBot="1">
      <c r="A10" s="455">
        <v>101</v>
      </c>
      <c r="B10" s="457" t="s">
        <v>1043</v>
      </c>
      <c r="C10" s="456" t="s">
        <v>1044</v>
      </c>
      <c r="D10" s="457" t="s">
        <v>1081</v>
      </c>
      <c r="E10" s="456" t="s">
        <v>1082</v>
      </c>
      <c r="F10" s="456" t="s">
        <v>1083</v>
      </c>
      <c r="G10" s="457"/>
      <c r="H10" s="463">
        <v>2</v>
      </c>
      <c r="I10" s="457" t="s">
        <v>1084</v>
      </c>
      <c r="J10" s="457" t="s">
        <v>1085</v>
      </c>
      <c r="K10" s="457" t="s">
        <v>1086</v>
      </c>
      <c r="L10" s="457" t="s">
        <v>1087</v>
      </c>
      <c r="M10" s="457" t="s">
        <v>1088</v>
      </c>
      <c r="N10" s="458" t="s">
        <v>1089</v>
      </c>
      <c r="O10" s="452"/>
      <c r="P10" s="452"/>
    </row>
    <row r="11" spans="1:16" ht="15" thickBot="1">
      <c r="A11" s="459">
        <v>102</v>
      </c>
      <c r="B11" s="461" t="s">
        <v>1043</v>
      </c>
      <c r="C11" s="461" t="s">
        <v>1090</v>
      </c>
      <c r="D11" s="461" t="s">
        <v>1081</v>
      </c>
      <c r="E11" s="461" t="s">
        <v>1082</v>
      </c>
      <c r="F11" s="461" t="s">
        <v>1091</v>
      </c>
      <c r="G11" s="460"/>
      <c r="H11" s="460"/>
      <c r="I11" s="460" t="s">
        <v>1092</v>
      </c>
      <c r="J11" s="460" t="s">
        <v>1093</v>
      </c>
      <c r="K11" s="460" t="s">
        <v>1094</v>
      </c>
      <c r="L11" s="460" t="s">
        <v>1095</v>
      </c>
      <c r="M11" s="460" t="s">
        <v>1096</v>
      </c>
      <c r="N11" s="462" t="s">
        <v>1097</v>
      </c>
      <c r="O11" s="452"/>
      <c r="P11" s="452"/>
    </row>
    <row r="12" spans="1:16" ht="15" thickBot="1">
      <c r="A12" s="459">
        <v>103</v>
      </c>
      <c r="B12" s="460" t="s">
        <v>1043</v>
      </c>
      <c r="C12" s="461" t="s">
        <v>1090</v>
      </c>
      <c r="D12" s="461" t="s">
        <v>1081</v>
      </c>
      <c r="E12" s="461" t="s">
        <v>1082</v>
      </c>
      <c r="F12" s="461" t="s">
        <v>1098</v>
      </c>
      <c r="G12" s="460"/>
      <c r="H12" s="460"/>
      <c r="I12" s="461" t="s">
        <v>1099</v>
      </c>
      <c r="J12" s="461" t="s">
        <v>1100</v>
      </c>
      <c r="K12" s="461" t="s">
        <v>1101</v>
      </c>
      <c r="L12" s="461" t="s">
        <v>1102</v>
      </c>
      <c r="M12" s="461" t="s">
        <v>1103</v>
      </c>
      <c r="N12" s="462" t="s">
        <v>1104</v>
      </c>
      <c r="O12" s="452"/>
      <c r="P12" s="452"/>
    </row>
    <row r="13" spans="1:16" ht="15" thickBot="1">
      <c r="A13" s="459">
        <v>104</v>
      </c>
      <c r="B13" s="460" t="s">
        <v>1043</v>
      </c>
      <c r="C13" s="460" t="s">
        <v>1090</v>
      </c>
      <c r="D13" s="460" t="s">
        <v>1045</v>
      </c>
      <c r="E13" s="460" t="s">
        <v>1046</v>
      </c>
      <c r="F13" s="460" t="s">
        <v>1105</v>
      </c>
      <c r="G13" s="460"/>
      <c r="H13" s="464">
        <v>1</v>
      </c>
      <c r="I13" s="460" t="s">
        <v>1106</v>
      </c>
      <c r="J13" s="460" t="s">
        <v>1107</v>
      </c>
      <c r="K13" s="460" t="s">
        <v>1108</v>
      </c>
      <c r="L13" s="460" t="s">
        <v>1109</v>
      </c>
      <c r="M13" s="460" t="s">
        <v>1110</v>
      </c>
      <c r="N13" s="462" t="s">
        <v>1111</v>
      </c>
      <c r="O13" s="452"/>
      <c r="P13" s="452"/>
    </row>
    <row r="14" spans="1:16" ht="15" thickBot="1">
      <c r="A14" s="459">
        <v>105</v>
      </c>
      <c r="B14" s="460" t="s">
        <v>1043</v>
      </c>
      <c r="C14" s="460" t="s">
        <v>1090</v>
      </c>
      <c r="D14" s="460" t="s">
        <v>1045</v>
      </c>
      <c r="E14" s="460" t="s">
        <v>1046</v>
      </c>
      <c r="F14" s="460" t="s">
        <v>1112</v>
      </c>
      <c r="G14" s="460"/>
      <c r="H14" s="464">
        <v>1</v>
      </c>
      <c r="I14" s="460" t="s">
        <v>1113</v>
      </c>
      <c r="J14" s="460" t="s">
        <v>1114</v>
      </c>
      <c r="K14" s="460" t="s">
        <v>1115</v>
      </c>
      <c r="L14" s="460" t="s">
        <v>1116</v>
      </c>
      <c r="M14" s="460" t="s">
        <v>1117</v>
      </c>
      <c r="N14" s="462"/>
      <c r="O14" s="452"/>
      <c r="P14" s="452"/>
    </row>
    <row r="15" spans="1:16" ht="15" thickBot="1">
      <c r="A15" s="459">
        <v>106</v>
      </c>
      <c r="B15" s="460" t="s">
        <v>1043</v>
      </c>
      <c r="C15" s="461" t="s">
        <v>1090</v>
      </c>
      <c r="D15" s="460" t="s">
        <v>1045</v>
      </c>
      <c r="E15" s="460" t="s">
        <v>1046</v>
      </c>
      <c r="F15" s="461" t="s">
        <v>1118</v>
      </c>
      <c r="G15" s="460"/>
      <c r="H15" s="460"/>
      <c r="I15" s="461" t="s">
        <v>1119</v>
      </c>
      <c r="J15" s="461" t="s">
        <v>1120</v>
      </c>
      <c r="K15" s="461" t="s">
        <v>1121</v>
      </c>
      <c r="L15" s="461" t="s">
        <v>1122</v>
      </c>
      <c r="M15" s="461" t="s">
        <v>1123</v>
      </c>
      <c r="N15" s="462" t="s">
        <v>1124</v>
      </c>
      <c r="O15" s="452"/>
      <c r="P15" s="452"/>
    </row>
    <row r="16" spans="1:16" ht="15" thickBot="1">
      <c r="A16" s="459">
        <v>107</v>
      </c>
      <c r="B16" s="460" t="s">
        <v>1043</v>
      </c>
      <c r="C16" s="460" t="s">
        <v>1090</v>
      </c>
      <c r="D16" s="460" t="s">
        <v>1045</v>
      </c>
      <c r="E16" s="460" t="s">
        <v>1046</v>
      </c>
      <c r="F16" s="460" t="s">
        <v>1126</v>
      </c>
      <c r="G16" s="460"/>
      <c r="H16" s="464">
        <v>1</v>
      </c>
      <c r="I16" s="460" t="s">
        <v>1127</v>
      </c>
      <c r="J16" s="460" t="s">
        <v>1128</v>
      </c>
      <c r="K16" s="460" t="s">
        <v>1129</v>
      </c>
      <c r="L16" s="460" t="s">
        <v>1130</v>
      </c>
      <c r="M16" s="460" t="s">
        <v>1131</v>
      </c>
      <c r="N16" s="462" t="s">
        <v>1132</v>
      </c>
    </row>
    <row r="19" spans="1:8" ht="28">
      <c r="A19" s="970" t="s">
        <v>2007</v>
      </c>
      <c r="B19" s="970"/>
      <c r="C19" s="970"/>
      <c r="D19" s="970"/>
      <c r="E19" s="970"/>
      <c r="F19" s="465"/>
      <c r="G19" s="465"/>
      <c r="H19" s="465"/>
    </row>
    <row r="20" spans="1:8" ht="18">
      <c r="A20" s="466"/>
      <c r="B20" s="466"/>
      <c r="C20" s="466"/>
      <c r="D20" s="466"/>
      <c r="E20" s="466"/>
      <c r="F20" s="465"/>
      <c r="G20" s="465"/>
      <c r="H20" s="465"/>
    </row>
    <row r="21" spans="1:8" ht="55.5">
      <c r="A21" s="535" t="s">
        <v>1518</v>
      </c>
      <c r="B21" s="535" t="s">
        <v>1712</v>
      </c>
      <c r="C21" s="536" t="s">
        <v>2008</v>
      </c>
      <c r="D21" s="536" t="s">
        <v>2009</v>
      </c>
      <c r="E21" s="536" t="s">
        <v>2010</v>
      </c>
      <c r="F21" s="536" t="s">
        <v>2011</v>
      </c>
      <c r="G21" s="536" t="s">
        <v>2012</v>
      </c>
      <c r="H21" s="536" t="s">
        <v>2013</v>
      </c>
    </row>
    <row r="22" spans="1:8" ht="409.5">
      <c r="A22" s="537" t="s">
        <v>1043</v>
      </c>
      <c r="B22" s="537" t="s">
        <v>2014</v>
      </c>
      <c r="C22" s="537" t="s">
        <v>2015</v>
      </c>
      <c r="D22" s="537" t="s">
        <v>2016</v>
      </c>
      <c r="E22" s="538" t="s">
        <v>2017</v>
      </c>
      <c r="F22" s="539" t="s">
        <v>20</v>
      </c>
      <c r="G22" s="539" t="s">
        <v>2018</v>
      </c>
      <c r="H22" s="539" t="s">
        <v>1708</v>
      </c>
    </row>
    <row r="23" spans="1:8" ht="409.5">
      <c r="A23" s="537" t="s">
        <v>1043</v>
      </c>
      <c r="B23" s="537" t="s">
        <v>2014</v>
      </c>
      <c r="C23" s="537" t="s">
        <v>2019</v>
      </c>
      <c r="D23" s="537" t="s">
        <v>2016</v>
      </c>
      <c r="E23" s="538" t="s">
        <v>2017</v>
      </c>
      <c r="F23" s="539" t="s">
        <v>20</v>
      </c>
      <c r="G23" s="539" t="s">
        <v>2018</v>
      </c>
      <c r="H23" s="539" t="s">
        <v>1708</v>
      </c>
    </row>
    <row r="24" spans="1:8" ht="409.5">
      <c r="A24" s="537" t="s">
        <v>1043</v>
      </c>
      <c r="B24" s="537" t="s">
        <v>2020</v>
      </c>
      <c r="C24" s="537" t="s">
        <v>2021</v>
      </c>
      <c r="D24" s="537" t="s">
        <v>2016</v>
      </c>
      <c r="E24" s="538" t="s">
        <v>2017</v>
      </c>
      <c r="F24" s="539" t="s">
        <v>20</v>
      </c>
      <c r="G24" s="539" t="s">
        <v>2018</v>
      </c>
      <c r="H24" s="539" t="s">
        <v>1708</v>
      </c>
    </row>
    <row r="25" spans="1:8" ht="392">
      <c r="A25" s="537" t="s">
        <v>1527</v>
      </c>
      <c r="B25" s="537" t="s">
        <v>2020</v>
      </c>
      <c r="C25" s="537" t="s">
        <v>1528</v>
      </c>
      <c r="D25" s="540" t="s">
        <v>1529</v>
      </c>
      <c r="E25" s="538" t="s">
        <v>1530</v>
      </c>
      <c r="F25" s="539" t="s">
        <v>1011</v>
      </c>
      <c r="G25" s="539"/>
      <c r="H25" s="539" t="s">
        <v>1708</v>
      </c>
    </row>
    <row r="26" spans="1:8" ht="280">
      <c r="A26" s="537" t="s">
        <v>1527</v>
      </c>
      <c r="B26" s="537" t="s">
        <v>2020</v>
      </c>
      <c r="C26" s="537" t="s">
        <v>1538</v>
      </c>
      <c r="D26" s="537" t="s">
        <v>1539</v>
      </c>
      <c r="E26" s="538" t="s">
        <v>1540</v>
      </c>
      <c r="F26" s="539" t="s">
        <v>1011</v>
      </c>
      <c r="G26" s="539"/>
      <c r="H26" s="539" t="s">
        <v>1708</v>
      </c>
    </row>
    <row r="27" spans="1:8" ht="266">
      <c r="A27" s="537" t="s">
        <v>1043</v>
      </c>
      <c r="B27" s="537" t="s">
        <v>2020</v>
      </c>
      <c r="C27" s="537" t="s">
        <v>2022</v>
      </c>
      <c r="D27" s="537" t="s">
        <v>2023</v>
      </c>
      <c r="E27" s="538" t="s">
        <v>2024</v>
      </c>
      <c r="F27" s="539" t="s">
        <v>1011</v>
      </c>
      <c r="G27" s="539"/>
      <c r="H27" s="539" t="s">
        <v>1708</v>
      </c>
    </row>
    <row r="28" spans="1:8" ht="210">
      <c r="A28" s="537" t="s">
        <v>673</v>
      </c>
      <c r="B28" s="537" t="s">
        <v>2020</v>
      </c>
      <c r="C28" s="537" t="s">
        <v>2025</v>
      </c>
      <c r="D28" s="537" t="s">
        <v>2026</v>
      </c>
      <c r="E28" s="538" t="s">
        <v>2027</v>
      </c>
      <c r="F28" s="539" t="s">
        <v>1011</v>
      </c>
      <c r="G28" s="539"/>
      <c r="H28" s="539" t="s">
        <v>1708</v>
      </c>
    </row>
    <row r="29" spans="1:8" ht="280">
      <c r="A29" s="537" t="s">
        <v>2028</v>
      </c>
      <c r="B29" s="537" t="s">
        <v>2020</v>
      </c>
      <c r="C29" s="537" t="s">
        <v>2029</v>
      </c>
      <c r="D29" s="537" t="s">
        <v>2030</v>
      </c>
      <c r="E29" s="541" t="s">
        <v>2031</v>
      </c>
      <c r="F29" s="539" t="s">
        <v>2032</v>
      </c>
      <c r="G29" s="539" t="s">
        <v>2033</v>
      </c>
      <c r="H29" s="539" t="s">
        <v>1708</v>
      </c>
    </row>
    <row r="30" spans="1:8" ht="409.5">
      <c r="A30" s="539" t="s">
        <v>1043</v>
      </c>
      <c r="B30" s="537" t="s">
        <v>2020</v>
      </c>
      <c r="C30" s="539" t="s">
        <v>1125</v>
      </c>
      <c r="D30" s="539" t="s">
        <v>2034</v>
      </c>
      <c r="E30" s="542" t="s">
        <v>2035</v>
      </c>
      <c r="F30" s="539" t="s">
        <v>1011</v>
      </c>
      <c r="G30" s="539"/>
      <c r="H30" s="539" t="s">
        <v>1708</v>
      </c>
    </row>
    <row r="31" spans="1:8" ht="250">
      <c r="A31" s="543" t="s">
        <v>232</v>
      </c>
      <c r="B31" s="544" t="s">
        <v>2036</v>
      </c>
      <c r="C31" s="543" t="s">
        <v>74</v>
      </c>
      <c r="D31" s="543" t="s">
        <v>2037</v>
      </c>
      <c r="E31" s="545" t="s">
        <v>667</v>
      </c>
      <c r="F31" s="544" t="s">
        <v>20</v>
      </c>
      <c r="G31" s="544"/>
      <c r="H31" s="544" t="s">
        <v>1367</v>
      </c>
    </row>
    <row r="32" spans="1:8" ht="112.5">
      <c r="A32" s="543" t="s">
        <v>48</v>
      </c>
      <c r="B32" s="544" t="s">
        <v>2036</v>
      </c>
      <c r="C32" s="543" t="s">
        <v>874</v>
      </c>
      <c r="D32" s="543" t="s">
        <v>1577</v>
      </c>
      <c r="E32" s="545" t="s">
        <v>1517</v>
      </c>
      <c r="F32" s="544" t="s">
        <v>20</v>
      </c>
      <c r="G32" s="544"/>
      <c r="H32" s="544" t="s">
        <v>1367</v>
      </c>
    </row>
    <row r="33" spans="1:8" ht="409.5">
      <c r="A33" s="543" t="s">
        <v>48</v>
      </c>
      <c r="B33" s="544" t="s">
        <v>2036</v>
      </c>
      <c r="C33" s="546" t="s">
        <v>29</v>
      </c>
      <c r="D33" s="546" t="s">
        <v>2038</v>
      </c>
      <c r="E33" s="545" t="s">
        <v>1488</v>
      </c>
      <c r="F33" s="544" t="s">
        <v>20</v>
      </c>
      <c r="G33" s="544"/>
      <c r="H33" s="544" t="s">
        <v>1367</v>
      </c>
    </row>
    <row r="34" spans="1:8" ht="162.5">
      <c r="A34" s="543" t="s">
        <v>48</v>
      </c>
      <c r="B34" s="544" t="s">
        <v>2036</v>
      </c>
      <c r="C34" s="547" t="s">
        <v>2039</v>
      </c>
      <c r="D34" s="547" t="s">
        <v>2040</v>
      </c>
      <c r="E34" s="548" t="s">
        <v>1490</v>
      </c>
      <c r="F34" s="544" t="s">
        <v>20</v>
      </c>
      <c r="G34" s="544"/>
      <c r="H34" s="544" t="s">
        <v>1367</v>
      </c>
    </row>
  </sheetData>
  <mergeCells count="1">
    <mergeCell ref="A19:E19"/>
  </mergeCells>
  <conditionalFormatting sqref="C33">
    <cfRule type="duplicateValues" dxfId="0" priority="1"/>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AF50A-D8B2-4F8F-89EE-18338DAE75A8}">
  <dimension ref="A1:O7"/>
  <sheetViews>
    <sheetView topLeftCell="A3" workbookViewId="0">
      <selection activeCell="B2" sqref="B2"/>
    </sheetView>
  </sheetViews>
  <sheetFormatPr defaultColWidth="8.90625" defaultRowHeight="12"/>
  <cols>
    <col min="1" max="1" width="8.90625" style="525"/>
    <col min="2" max="3" width="11.6328125" style="525" customWidth="1"/>
    <col min="4" max="4" width="19" style="525" customWidth="1"/>
    <col min="5" max="6" width="8.90625" style="525"/>
    <col min="7" max="7" width="12.453125" style="525" customWidth="1"/>
    <col min="8" max="8" width="8.90625" style="525"/>
    <col min="9" max="13" width="15.6328125" style="517" customWidth="1"/>
    <col min="14" max="14" width="8.90625" style="525"/>
    <col min="15" max="15" width="8.90625" style="391"/>
    <col min="16" max="16384" width="8.90625" style="525"/>
  </cols>
  <sheetData>
    <row r="1" spans="1:15" ht="57.5">
      <c r="A1" s="515" t="s">
        <v>376</v>
      </c>
      <c r="B1" s="515" t="s">
        <v>815</v>
      </c>
      <c r="C1" s="515" t="s">
        <v>1362</v>
      </c>
      <c r="D1" s="514" t="s">
        <v>36</v>
      </c>
      <c r="E1" s="514" t="s">
        <v>1661</v>
      </c>
      <c r="F1" s="514" t="s">
        <v>2087</v>
      </c>
      <c r="G1" s="516" t="s">
        <v>1658</v>
      </c>
      <c r="H1" s="514" t="s">
        <v>377</v>
      </c>
      <c r="I1" s="971" t="s">
        <v>2088</v>
      </c>
      <c r="J1" s="972"/>
      <c r="K1" s="972"/>
      <c r="L1" s="972"/>
      <c r="M1" s="973"/>
      <c r="N1" s="518"/>
      <c r="O1" s="532"/>
    </row>
    <row r="2" spans="1:15" ht="92">
      <c r="A2" s="526" t="s">
        <v>5</v>
      </c>
      <c r="B2" s="527" t="s">
        <v>1434</v>
      </c>
      <c r="C2" s="527" t="s">
        <v>1188</v>
      </c>
      <c r="D2" s="520" t="s">
        <v>1673</v>
      </c>
      <c r="E2" s="528" t="s">
        <v>17</v>
      </c>
      <c r="F2" s="527" t="s">
        <v>17</v>
      </c>
      <c r="G2" s="527" t="s">
        <v>17</v>
      </c>
      <c r="H2" s="529" t="s">
        <v>1367</v>
      </c>
      <c r="I2" s="519" t="s">
        <v>1429</v>
      </c>
      <c r="J2" s="521" t="s">
        <v>1430</v>
      </c>
      <c r="K2" s="522" t="s">
        <v>1431</v>
      </c>
      <c r="L2" s="523" t="s">
        <v>972</v>
      </c>
      <c r="M2" s="524" t="s">
        <v>973</v>
      </c>
      <c r="N2" s="530"/>
      <c r="O2" s="533" t="s">
        <v>1677</v>
      </c>
    </row>
    <row r="3" spans="1:15" ht="126.5">
      <c r="A3" s="526" t="s">
        <v>5</v>
      </c>
      <c r="B3" s="527" t="s">
        <v>1434</v>
      </c>
      <c r="C3" s="527" t="s">
        <v>1188</v>
      </c>
      <c r="D3" s="520" t="s">
        <v>1516</v>
      </c>
      <c r="E3" s="528"/>
      <c r="F3" s="527" t="s">
        <v>17</v>
      </c>
      <c r="G3" s="527" t="s">
        <v>17</v>
      </c>
      <c r="H3" s="529" t="s">
        <v>1367</v>
      </c>
      <c r="I3" s="519" t="s">
        <v>969</v>
      </c>
      <c r="J3" s="521" t="s">
        <v>970</v>
      </c>
      <c r="K3" s="522" t="s">
        <v>971</v>
      </c>
      <c r="L3" s="523" t="s">
        <v>972</v>
      </c>
      <c r="M3" s="524" t="s">
        <v>973</v>
      </c>
      <c r="N3" s="530"/>
      <c r="O3" s="533"/>
    </row>
    <row r="4" spans="1:15" ht="80.5">
      <c r="A4" s="526" t="s">
        <v>5</v>
      </c>
      <c r="B4" s="527" t="s">
        <v>1434</v>
      </c>
      <c r="C4" s="527" t="s">
        <v>1046</v>
      </c>
      <c r="D4" s="520" t="s">
        <v>1674</v>
      </c>
      <c r="E4" s="528"/>
      <c r="F4" s="527" t="s">
        <v>17</v>
      </c>
      <c r="G4" s="527" t="s">
        <v>17</v>
      </c>
      <c r="H4" s="529" t="s">
        <v>1367</v>
      </c>
      <c r="I4" s="519" t="s">
        <v>2089</v>
      </c>
      <c r="J4" s="521" t="s">
        <v>2090</v>
      </c>
      <c r="K4" s="522" t="s">
        <v>2091</v>
      </c>
      <c r="L4" s="523" t="s">
        <v>2092</v>
      </c>
      <c r="M4" s="524" t="s">
        <v>2093</v>
      </c>
      <c r="N4" s="530"/>
      <c r="O4" s="533"/>
    </row>
    <row r="5" spans="1:15" ht="69">
      <c r="A5" s="526" t="s">
        <v>5</v>
      </c>
      <c r="B5" s="527" t="s">
        <v>1434</v>
      </c>
      <c r="C5" s="527" t="s">
        <v>1188</v>
      </c>
      <c r="D5" s="520" t="s">
        <v>1675</v>
      </c>
      <c r="E5" s="528"/>
      <c r="F5" s="527" t="s">
        <v>17</v>
      </c>
      <c r="G5" s="527" t="s">
        <v>17</v>
      </c>
      <c r="H5" s="529" t="s">
        <v>1367</v>
      </c>
      <c r="I5" s="519" t="s">
        <v>2094</v>
      </c>
      <c r="J5" s="521"/>
      <c r="K5" s="522" t="s">
        <v>2095</v>
      </c>
      <c r="L5" s="523"/>
      <c r="M5" s="524" t="s">
        <v>2096</v>
      </c>
      <c r="N5" s="530"/>
      <c r="O5" s="533"/>
    </row>
    <row r="6" spans="1:15" ht="34.5">
      <c r="A6" s="526" t="s">
        <v>5</v>
      </c>
      <c r="B6" s="527" t="s">
        <v>1434</v>
      </c>
      <c r="C6" s="527" t="s">
        <v>1188</v>
      </c>
      <c r="D6" s="520" t="s">
        <v>1672</v>
      </c>
      <c r="E6" s="528"/>
      <c r="F6" s="527" t="s">
        <v>17</v>
      </c>
      <c r="G6" s="527" t="s">
        <v>17</v>
      </c>
      <c r="H6" s="529" t="s">
        <v>1367</v>
      </c>
      <c r="I6" s="519" t="s">
        <v>2097</v>
      </c>
      <c r="J6" s="521"/>
      <c r="K6" s="522" t="s">
        <v>2098</v>
      </c>
      <c r="L6" s="523"/>
      <c r="M6" s="524" t="s">
        <v>2099</v>
      </c>
      <c r="N6" s="530"/>
      <c r="O6" s="533" t="s">
        <v>2100</v>
      </c>
    </row>
    <row r="7" spans="1:15" ht="57.5">
      <c r="A7" s="526" t="s">
        <v>5</v>
      </c>
      <c r="B7" s="527" t="s">
        <v>1434</v>
      </c>
      <c r="C7" s="527" t="s">
        <v>1188</v>
      </c>
      <c r="D7" s="520" t="s">
        <v>1676</v>
      </c>
      <c r="E7" s="528"/>
      <c r="F7" s="527" t="s">
        <v>17</v>
      </c>
      <c r="G7" s="527" t="s">
        <v>17</v>
      </c>
      <c r="H7" s="529" t="s">
        <v>1367</v>
      </c>
      <c r="I7" s="519" t="s">
        <v>963</v>
      </c>
      <c r="J7" s="521" t="s">
        <v>964</v>
      </c>
      <c r="K7" s="522" t="s">
        <v>965</v>
      </c>
      <c r="L7" s="523" t="s">
        <v>966</v>
      </c>
      <c r="M7" s="524" t="s">
        <v>967</v>
      </c>
      <c r="N7" s="531"/>
      <c r="O7" s="533"/>
    </row>
  </sheetData>
  <mergeCells count="1">
    <mergeCell ref="I1:M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E9F30-D293-461F-A650-4D6E689C49AF}">
  <sheetPr>
    <tabColor theme="0" tint="-0.499984740745262"/>
    <outlinePr summaryBelow="0" summaryRight="0"/>
  </sheetPr>
  <dimension ref="A1:S873"/>
  <sheetViews>
    <sheetView topLeftCell="A14" zoomScale="92" workbookViewId="0">
      <selection activeCell="D35" sqref="D35"/>
    </sheetView>
  </sheetViews>
  <sheetFormatPr defaultColWidth="14.453125" defaultRowHeight="15.75" customHeight="1"/>
  <cols>
    <col min="1" max="1" width="5.453125" style="659" customWidth="1"/>
    <col min="2" max="2" width="9.6328125" style="372" customWidth="1"/>
    <col min="3" max="3" width="14.453125" style="372"/>
    <col min="4" max="4" width="24.54296875" style="372" customWidth="1"/>
    <col min="5" max="5" width="40.453125" style="434" customWidth="1"/>
    <col min="6" max="6" width="24.36328125" style="372" customWidth="1"/>
    <col min="7" max="7" width="78" style="372" customWidth="1"/>
    <col min="8" max="10" width="14.453125" style="372"/>
    <col min="11" max="15" width="21.453125" style="372" customWidth="1"/>
    <col min="16" max="16" width="37.453125" style="372" customWidth="1"/>
    <col min="17" max="17" width="14.453125" style="372"/>
    <col min="18" max="18" width="32.453125" style="372" customWidth="1"/>
    <col min="19" max="16384" width="14.453125" style="372"/>
  </cols>
  <sheetData>
    <row r="1" spans="1:19" s="259" customFormat="1" ht="12.5" hidden="1">
      <c r="A1" s="652" t="str">
        <f ca="1">IFERROR(__xludf.DUMMYFUNCTION("importrange(""1EW0LkOygSDIHN0UHYA-HW_zFtCDzNW3pdxs6hCOrkvw"",""Consensus Results for Sharing!A1:p300"")"),"")</f>
        <v/>
      </c>
      <c r="B1" s="382"/>
      <c r="C1" s="382"/>
      <c r="D1" s="382"/>
      <c r="E1" s="382"/>
      <c r="F1" s="382"/>
      <c r="G1" s="382"/>
      <c r="H1" s="382"/>
      <c r="I1" s="382"/>
      <c r="J1" s="382"/>
      <c r="K1" s="382"/>
      <c r="L1" s="382"/>
      <c r="M1" s="382"/>
      <c r="N1" s="382"/>
      <c r="O1" s="382"/>
      <c r="P1" s="382"/>
      <c r="Q1" s="372"/>
      <c r="R1" s="372"/>
      <c r="S1" s="372"/>
    </row>
    <row r="2" spans="1:19" ht="18">
      <c r="A2" s="660" t="s">
        <v>1427</v>
      </c>
      <c r="B2" s="371"/>
      <c r="C2" s="265"/>
      <c r="D2" s="265"/>
      <c r="E2" s="430"/>
      <c r="F2" s="265"/>
      <c r="G2" s="265"/>
      <c r="H2" s="265"/>
      <c r="I2" s="265"/>
      <c r="J2" s="265"/>
      <c r="K2" s="265"/>
      <c r="L2" s="265"/>
      <c r="M2" s="265"/>
      <c r="N2" s="265"/>
      <c r="O2" s="265"/>
      <c r="P2" s="265"/>
      <c r="Q2" s="371"/>
      <c r="R2" s="371"/>
      <c r="S2" s="371"/>
    </row>
    <row r="3" spans="1:19" ht="17.5">
      <c r="A3" s="661" t="s">
        <v>1432</v>
      </c>
      <c r="B3" s="371"/>
      <c r="C3" s="265"/>
      <c r="D3" s="265"/>
      <c r="E3" s="430"/>
      <c r="F3" s="265"/>
      <c r="G3" s="265"/>
      <c r="H3" s="265"/>
      <c r="I3" s="265"/>
      <c r="J3" s="265"/>
      <c r="K3" s="265"/>
      <c r="L3" s="265"/>
      <c r="M3" s="265"/>
      <c r="N3" s="265"/>
      <c r="O3" s="265"/>
      <c r="P3" s="265"/>
      <c r="Q3" s="371"/>
      <c r="R3" s="371"/>
      <c r="S3" s="371"/>
    </row>
    <row r="4" spans="1:19" ht="18.5">
      <c r="A4" s="662" t="s">
        <v>1433</v>
      </c>
      <c r="B4" s="371"/>
      <c r="C4" s="265"/>
      <c r="D4" s="265"/>
      <c r="E4" s="430"/>
      <c r="F4" s="265"/>
      <c r="G4" s="265"/>
      <c r="H4" s="265"/>
      <c r="I4" s="265"/>
      <c r="J4" s="265"/>
      <c r="K4" s="265"/>
      <c r="L4" s="265"/>
      <c r="M4" s="265"/>
      <c r="N4" s="265"/>
      <c r="O4" s="265"/>
      <c r="P4" s="265"/>
      <c r="Q4" s="371"/>
      <c r="R4" s="371"/>
      <c r="S4" s="371"/>
    </row>
    <row r="5" spans="1:19" ht="17.5">
      <c r="A5" s="653" t="str">
        <f ca="1">IFERROR(__xludf.DUMMYFUNCTION("importrange(""1EW0LkOygSDIHN0UHYA-HW_zFtCDzNW3pdxs6hCOrkvw"",""Consensus Results for Sharing!A1:p300"")"),"")</f>
        <v/>
      </c>
      <c r="B5" s="373"/>
      <c r="C5" s="373"/>
      <c r="D5" s="373"/>
      <c r="E5" s="431"/>
      <c r="F5" s="373"/>
      <c r="G5" s="373"/>
      <c r="H5" s="373"/>
      <c r="I5" s="373"/>
      <c r="J5" s="373"/>
      <c r="K5" s="373"/>
      <c r="L5" s="373"/>
      <c r="M5" s="373"/>
      <c r="N5" s="373"/>
      <c r="O5" s="373"/>
      <c r="P5" s="373"/>
      <c r="Q5" s="371"/>
      <c r="R5" s="371"/>
      <c r="S5" s="371"/>
    </row>
    <row r="6" spans="1:19" ht="18">
      <c r="A6" s="654" t="s">
        <v>790</v>
      </c>
      <c r="B6" s="374" t="str">
        <f ca="1">IFERROR(__xludf.DUMMYFUNCTION("""COMPUTED_VALUE"""),"Sector")</f>
        <v>Sector</v>
      </c>
      <c r="C6" s="375" t="str">
        <f ca="1">IFERROR(__xludf.DUMMYFUNCTION("""COMPUTED_VALUE"""),"Sub- sector")</f>
        <v>Sub- sector</v>
      </c>
      <c r="D6" s="375" t="str">
        <f ca="1">IFERROR(__xludf.DUMMYFUNCTION("""COMPUTED_VALUE"""),"Pillar")</f>
        <v>Pillar</v>
      </c>
      <c r="E6" s="432" t="str">
        <f ca="1">IFERROR(__xludf.DUMMYFUNCTION("""COMPUTED_VALUE"""),"Sub pillar")</f>
        <v>Sub pillar</v>
      </c>
      <c r="F6" s="375" t="str">
        <f ca="1">IFERROR(__xludf.DUMMYFUNCTION("""COMPUTED_VALUE"""),"Indicator Name/label")</f>
        <v>Indicator Name/label</v>
      </c>
      <c r="G6" s="375" t="str">
        <f ca="1">IFERROR(__xludf.DUMMYFUNCTION("""COMPUTED_VALUE"""),"Forecast indicators")</f>
        <v>Forecast indicators</v>
      </c>
      <c r="H6" s="375" t="str">
        <f ca="1">IFERROR(__xludf.DUMMYFUNCTION("""COMPUTED_VALUE"""),"JIAF Priority level")</f>
        <v>JIAF Priority level</v>
      </c>
      <c r="I6" s="375" t="str">
        <f ca="1">IFERROR(__xludf.DUMMYFUNCTION("""COMPUTED_VALUE"""),"Data collection technique")</f>
        <v>Data collection technique</v>
      </c>
      <c r="J6" s="375" t="str">
        <f ca="1">IFERROR(__xludf.DUMMYFUNCTION("""COMPUTED_VALUE"""),"Recommended source")</f>
        <v>Recommended source</v>
      </c>
      <c r="K6" s="376">
        <f ca="1">IFERROR(__xludf.DUMMYFUNCTION("""COMPUTED_VALUE"""),1)</f>
        <v>1</v>
      </c>
      <c r="L6" s="377">
        <f ca="1">IFERROR(__xludf.DUMMYFUNCTION("""COMPUTED_VALUE"""),2)</f>
        <v>2</v>
      </c>
      <c r="M6" s="378">
        <f ca="1">IFERROR(__xludf.DUMMYFUNCTION("""COMPUTED_VALUE"""),3)</f>
        <v>3</v>
      </c>
      <c r="N6" s="379">
        <f ca="1">IFERROR(__xludf.DUMMYFUNCTION("""COMPUTED_VALUE"""),4)</f>
        <v>4</v>
      </c>
      <c r="O6" s="380">
        <f ca="1">IFERROR(__xludf.DUMMYFUNCTION("""COMPUTED_VALUE"""),5)</f>
        <v>5</v>
      </c>
      <c r="P6" s="381" t="str">
        <f ca="1">IFERROR(__xludf.DUMMYFUNCTION("""COMPUTED_VALUE"""),"Notes from indicator owner")</f>
        <v>Notes from indicator owner</v>
      </c>
      <c r="Q6" s="371" t="s">
        <v>1595</v>
      </c>
      <c r="R6" s="371" t="s">
        <v>379</v>
      </c>
      <c r="S6" s="371" t="s">
        <v>1596</v>
      </c>
    </row>
    <row r="7" spans="1:19" s="259" customFormat="1" ht="12.5">
      <c r="A7" s="655">
        <f ca="1">IFERROR(__xludf.DUMMYFUNCTION("""COMPUTED_VALUE"""),1)</f>
        <v>1</v>
      </c>
      <c r="B7" s="630" t="str">
        <f ca="1">IFERROR(__xludf.DUMMYFUNCTION("""COMPUTED_VALUE"""),"CCCM")</f>
        <v>CCCM</v>
      </c>
      <c r="C7" s="631"/>
      <c r="D7" s="630" t="str">
        <f ca="1">IFERROR(__xludf.DUMMYFUNCTION("""COMPUTED_VALUE"""),"Humanitarian Conditions")</f>
        <v>Humanitarian Conditions</v>
      </c>
      <c r="E7" s="630" t="str">
        <f ca="1">IFERROR(__xludf.DUMMYFUNCTION("""COMPUTED_VALUE"""),"Living Standards")</f>
        <v>Living Standards</v>
      </c>
      <c r="F7" s="630" t="str">
        <f ca="1">IFERROR(__xludf.DUMMYFUNCTION("""COMPUTED_VALUE"""),"% of population in sites with access to functioning complaints and feedback mechanisms")</f>
        <v>% of population in sites with access to functioning complaints and feedback mechanisms</v>
      </c>
      <c r="G7" s="631"/>
      <c r="H7" s="632">
        <f ca="1">IFERROR(__xludf.DUMMYFUNCTION("""COMPUTED_VALUE"""),1)</f>
        <v>1</v>
      </c>
      <c r="I7" s="631" t="str">
        <f ca="1">IFERROR(__xludf.DUMMYFUNCTION("""COMPUTED_VALUE"""),"HH survey / KI")</f>
        <v>HH survey / KI</v>
      </c>
      <c r="J7" s="631" t="str">
        <f ca="1">IFERROR(__xludf.DUMMYFUNCTION("""COMPUTED_VALUE"""),"CCCM Cluster")</f>
        <v>CCCM Cluster</v>
      </c>
      <c r="K7" s="633" t="str">
        <f ca="1">IFERROR(__xludf.DUMMYFUNCTION("""COMPUTED_VALUE"""),"All four of the following criteria met:
 HH is aware of the existence of CFM;
 the CFM is easy to use;
 the CFM is appropriate for the population (no language, gender or imparement limitations);
 it's trusted for confidentiality, response, timeliness and "&amp;"sensitive issues")</f>
        <v>All four of the following criteria met:
 HH is aware of the existence of CFM;
 the CFM is easy to use;
 the CFM is appropriate for the population (no language, gender or imparement limitations);
 it's trusted for confidentiality, response, timeliness and sensitive issues</v>
      </c>
      <c r="L7" s="633" t="str">
        <f ca="1">IFERROR(__xludf.DUMMYFUNCTION("""COMPUTED_VALUE"""),"Three of the following criteria met:
 HH is aware of the existence of CFM;
 the CFM is easy to use;
 the CFM is appropriate for the population (no language, gender or imparement limitations);
 it's trusted for confidentiality, response, timeliness and sen"&amp;"sitive issues")</f>
        <v>Three of the following criteria met:
 HH is aware of the existence of CFM;
 the CFM is easy to use;
 the CFM is appropriate for the population (no language, gender or imparement limitations);
 it's trusted for confidentiality, response, timeliness and sensitive issues</v>
      </c>
      <c r="M7" s="633" t="str">
        <f ca="1">IFERROR(__xludf.DUMMYFUNCTION("""COMPUTED_VALUE"""),"Two of the following criteria met:
 HH is aware of the existence of CFM;
 the CFM is easy to use;
 the CFM is appropriate for the population (no language, gender or imparement limitations);
 it's trusted for confidentiality, response, timeliness and sensi"&amp;"tive issues")</f>
        <v>Two of the following criteria met:
 HH is aware of the existence of CFM;
 the CFM is easy to use;
 the CFM is appropriate for the population (no language, gender or imparement limitations);
 it's trusted for confidentiality, response, timeliness and sensitive issues</v>
      </c>
      <c r="N7" s="633" t="str">
        <f ca="1">IFERROR(__xludf.DUMMYFUNCTION("""COMPUTED_VALUE"""),"One of the following criteria met:
 HH is aware of the existence of CFM;
 the CFM is easy to use;
 the CFM is appropriate for the population (no language, gender or imparement limitations);
 it's trusted for confidentiality, response, timeliness and sensi"&amp;"tive issues")</f>
        <v>One of the following criteria met:
 HH is aware of the existence of CFM;
 the CFM is easy to use;
 the CFM is appropriate for the population (no language, gender or imparement limitations);
 it's trusted for confidentiality, response, timeliness and sensitive issues</v>
      </c>
      <c r="O7" s="633" t="str">
        <f ca="1">IFERROR(__xludf.DUMMYFUNCTION("""COMPUTED_VALUE"""),"None of the following criteria met:
 HH is aware of the existence of CFM;
 the CFM is easy to use;
 the CFM is appropriate for the population (no language, gender or imparement limitations);
 it's trusted for confidentiality, response, timeliness and sens"&amp;"itive issues")</f>
        <v>None of the following criteria met:
 HH is aware of the existence of CFM;
 the CFM is easy to use;
 the CFM is appropriate for the population (no language, gender or imparement limitations);
 it's trusted for confidentiality, response, timeliness and sensitive issues</v>
      </c>
      <c r="P7" s="631"/>
      <c r="Q7" s="372"/>
      <c r="R7" s="372"/>
      <c r="S7" s="372"/>
    </row>
    <row r="8" spans="1:19" s="259" customFormat="1" ht="12.5">
      <c r="A8" s="655">
        <f ca="1">IFERROR(__xludf.DUMMYFUNCTION("""COMPUTED_VALUE"""),2)</f>
        <v>2</v>
      </c>
      <c r="B8" s="630" t="str">
        <f ca="1">IFERROR(__xludf.DUMMYFUNCTION("""COMPUTED_VALUE"""),"CCCM")</f>
        <v>CCCM</v>
      </c>
      <c r="C8" s="631"/>
      <c r="D8" s="630" t="str">
        <f ca="1">IFERROR(__xludf.DUMMYFUNCTION("""COMPUTED_VALUE"""),"Humanitarian Conditions")</f>
        <v>Humanitarian Conditions</v>
      </c>
      <c r="E8" s="630" t="str">
        <f ca="1">IFERROR(__xludf.DUMMYFUNCTION("""COMPUTED_VALUE"""),"Living Standards")</f>
        <v>Living Standards</v>
      </c>
      <c r="F8" s="630" t="str">
        <f ca="1">IFERROR(__xludf.DUMMYFUNCTION("""COMPUTED_VALUE"""),"% of population in sites with appropriate site management services")</f>
        <v>% of population in sites with appropriate site management services</v>
      </c>
      <c r="G8" s="631"/>
      <c r="H8" s="632">
        <f ca="1">IFERROR(__xludf.DUMMYFUNCTION("""COMPUTED_VALUE"""),1)</f>
        <v>1</v>
      </c>
      <c r="I8" s="631" t="str">
        <f ca="1">IFERROR(__xludf.DUMMYFUNCTION("""COMPUTED_VALUE"""),"KI")</f>
        <v>KI</v>
      </c>
      <c r="J8" s="631" t="str">
        <f ca="1">IFERROR(__xludf.DUMMYFUNCTION("""COMPUTED_VALUE"""),"CCCM Cluster")</f>
        <v>CCCM Cluster</v>
      </c>
      <c r="K8" s="633" t="str">
        <f ca="1">IFERROR(__xludf.DUMMYFUNCTION("""COMPUTED_VALUE"""),"Size or type of site that does not require site management activities")</f>
        <v>Size or type of site that does not require site management activities</v>
      </c>
      <c r="L8" s="633" t="str">
        <f ca="1">IFERROR(__xludf.DUMMYFUNCTION("""COMPUTED_VALUE"""),"Size or type of site that requires infrequent or low level of site management activities")</f>
        <v>Size or type of site that requires infrequent or low level of site management activities</v>
      </c>
      <c r="M8" s="633" t="str">
        <f ca="1">IFERROR(__xludf.DUMMYFUNCTION("""COMPUTED_VALUE"""),"Size or type of site that requires a moderate range of site managemnt services")</f>
        <v>Size or type of site that requires a moderate range of site managemnt services</v>
      </c>
      <c r="N8" s="633" t="str">
        <f ca="1">IFERROR(__xludf.DUMMYFUNCTION("""COMPUTED_VALUE"""),"Size or type of site that requires a wide range of site management service")</f>
        <v>Size or type of site that requires a wide range of site management service</v>
      </c>
      <c r="O8" s="633" t="str">
        <f ca="1">IFERROR(__xludf.DUMMYFUNCTION("""COMPUTED_VALUE"""),"Size or type of site that requires a comprehensive range of site management services")</f>
        <v>Size or type of site that requires a comprehensive range of site management services</v>
      </c>
      <c r="P8" s="631"/>
      <c r="Q8" s="372"/>
      <c r="R8" s="372"/>
      <c r="S8" s="372"/>
    </row>
    <row r="9" spans="1:19" s="259" customFormat="1" ht="12.5">
      <c r="A9" s="655">
        <f ca="1">IFERROR(__xludf.DUMMYFUNCTION("""COMPUTED_VALUE"""),3)</f>
        <v>3</v>
      </c>
      <c r="B9" s="630" t="str">
        <f ca="1">IFERROR(__xludf.DUMMYFUNCTION("""COMPUTED_VALUE"""),"CCCM")</f>
        <v>CCCM</v>
      </c>
      <c r="C9" s="631"/>
      <c r="D9" s="630" t="str">
        <f ca="1">IFERROR(__xludf.DUMMYFUNCTION("""COMPUTED_VALUE"""),"Humanitarian Conditions")</f>
        <v>Humanitarian Conditions</v>
      </c>
      <c r="E9" s="630" t="str">
        <f ca="1">IFERROR(__xludf.DUMMYFUNCTION("""COMPUTED_VALUE"""),"Living Standards")</f>
        <v>Living Standards</v>
      </c>
      <c r="F9" s="630" t="str">
        <f ca="1">IFERROR(__xludf.DUMMYFUNCTION("""COMPUTED_VALUE"""),"% of population in sites with inclusive and representative governance structures")</f>
        <v>% of population in sites with inclusive and representative governance structures</v>
      </c>
      <c r="G9" s="631"/>
      <c r="H9" s="632">
        <f ca="1">IFERROR(__xludf.DUMMYFUNCTION("""COMPUTED_VALUE"""),1)</f>
        <v>1</v>
      </c>
      <c r="I9" s="631" t="str">
        <f ca="1">IFERROR(__xludf.DUMMYFUNCTION("""COMPUTED_VALUE"""),"HH survey / KI")</f>
        <v>HH survey / KI</v>
      </c>
      <c r="J9" s="631" t="str">
        <f ca="1">IFERROR(__xludf.DUMMYFUNCTION("""COMPUTED_VALUE"""),"CCCM Cluster")</f>
        <v>CCCM Cluster</v>
      </c>
      <c r="K9" s="633" t="str">
        <f ca="1">IFERROR(__xludf.DUMMYFUNCTION("""COMPUTED_VALUE"""),"All of the following criteria met: governance structures are representative of the site population; decision-making procesesses include view of women, children, vulnerable groups and host community; governance structures are accountable; governance repres"&amp;"entatives have sufficent capacity and resources")</f>
        <v>All of the following criteria met: governance structures are representative of the site population; decision-making procesesses include view of women, children, vulnerable groups and host community; governance structures are accountable; governance representatives have sufficent capacity and resources</v>
      </c>
      <c r="L9" s="633" t="str">
        <f ca="1">IFERROR(__xludf.DUMMYFUNCTION("""COMPUTED_VALUE"""),"Three of the following criteria met:
 governance structures are representative of the site population; decision-making procesesses include view of women, children, vulnerable groups and host community; governance structures are accountable; governance rep"&amp;"resentatives have sufficent capacity and resources")</f>
        <v>Three of the following criteria met:
 governance structures are representative of the site population; decision-making procesesses include view of women, children, vulnerable groups and host community; governance structures are accountable; governance representatives have sufficent capacity and resources</v>
      </c>
      <c r="M9" s="633" t="str">
        <f ca="1">IFERROR(__xludf.DUMMYFUNCTION("""COMPUTED_VALUE"""),"Two of the following criteria met: 
 governance structures are representative of the site population; decision-making procesesses include view of women, children, vulnerable groups and host community; governance structures are accountable; governance repr"&amp;"esentatives have sufficent capacity and resources")</f>
        <v>Two of the following criteria met: 
 governance structures are representative of the site population; decision-making procesesses include view of women, children, vulnerable groups and host community; governance structures are accountable; governance representatives have sufficent capacity and resources</v>
      </c>
      <c r="N9" s="633" t="str">
        <f ca="1">IFERROR(__xludf.DUMMYFUNCTION("""COMPUTED_VALUE"""),"One of the following criteria met: 
 governance structures are representative of the site population; decision-making procesesses include view of women, children, vulnerable groups and host community; governance structures are accountable; governance repr"&amp;"esentatives have sufficent capacity and resources")</f>
        <v>One of the following criteria met: 
 governance structures are representative of the site population; decision-making procesesses include view of women, children, vulnerable groups and host community; governance structures are accountable; governance representatives have sufficent capacity and resources</v>
      </c>
      <c r="O9" s="633" t="str">
        <f ca="1">IFERROR(__xludf.DUMMYFUNCTION("""COMPUTED_VALUE"""),"None of the following criteria met: 
 governance structures are representative of the site population; decision-making procesesses include view of women, children, vulnerable groups and host community; governance structures are accountable; governance rep"&amp;"resentatives have sufficent capacity and resources")</f>
        <v>None of the following criteria met: 
 governance structures are representative of the site population; decision-making procesesses include view of women, children, vulnerable groups and host community; governance structures are accountable; governance representatives have sufficent capacity and resources</v>
      </c>
      <c r="P9" s="631"/>
      <c r="Q9" s="372"/>
      <c r="R9" s="372"/>
      <c r="S9" s="372"/>
    </row>
    <row r="10" spans="1:19" s="259" customFormat="1" ht="12.5">
      <c r="A10" s="655">
        <f ca="1">IFERROR(__xludf.DUMMYFUNCTION("""COMPUTED_VALUE"""),4)</f>
        <v>4</v>
      </c>
      <c r="B10" s="630" t="str">
        <f ca="1">IFERROR(__xludf.DUMMYFUNCTION("""COMPUTED_VALUE"""),"CCCM")</f>
        <v>CCCM</v>
      </c>
      <c r="C10" s="631"/>
      <c r="D10" s="630" t="str">
        <f ca="1">IFERROR(__xludf.DUMMYFUNCTION("""COMPUTED_VALUE"""),"Humanitarian Conditions")</f>
        <v>Humanitarian Conditions</v>
      </c>
      <c r="E10" s="630" t="str">
        <f ca="1">IFERROR(__xludf.DUMMYFUNCTION("""COMPUTED_VALUE"""),"Living Standards")</f>
        <v>Living Standards</v>
      </c>
      <c r="F10" s="630" t="str">
        <f ca="1">IFERROR(__xludf.DUMMYFUNCTION("""COMPUTED_VALUE"""),"% of population with access to basic services within walking distance")</f>
        <v>% of population with access to basic services within walking distance</v>
      </c>
      <c r="G10" s="631"/>
      <c r="H10" s="632">
        <f ca="1">IFERROR(__xludf.DUMMYFUNCTION("""COMPUTED_VALUE"""),1)</f>
        <v>1</v>
      </c>
      <c r="I10" s="631" t="str">
        <f ca="1">IFERROR(__xludf.DUMMYFUNCTION("""COMPUTED_VALUE"""),"HH survey / KI")</f>
        <v>HH survey / KI</v>
      </c>
      <c r="J10" s="631" t="str">
        <f ca="1">IFERROR(__xludf.DUMMYFUNCTION("""COMPUTED_VALUE"""),"CCCM Cluster")</f>
        <v>CCCM Cluster</v>
      </c>
      <c r="K10" s="633" t="str">
        <f ca="1">IFERROR(__xludf.DUMMYFUNCTION("""COMPUTED_VALUE"""),"All basic services are available within a 30 min walking distance (one way)")</f>
        <v>All basic services are available within a 30 min walking distance (one way)</v>
      </c>
      <c r="L10" s="633" t="str">
        <f ca="1">IFERROR(__xludf.DUMMYFUNCTION("""COMPUTED_VALUE"""),"All basic services are available within a one hour walking distance (one way)")</f>
        <v>All basic services are available within a one hour walking distance (one way)</v>
      </c>
      <c r="M10" s="633" t="str">
        <f ca="1">IFERROR(__xludf.DUMMYFUNCTION("""COMPUTED_VALUE"""),"All basic services are available within a 1h30 walking distance (one way)")</f>
        <v>All basic services are available within a 1h30 walking distance (one way)</v>
      </c>
      <c r="N10" s="633" t="str">
        <f ca="1">IFERROR(__xludf.DUMMYFUNCTION("""COMPUTED_VALUE"""),"All basic services are available within a 2 hours walking distance (one way)")</f>
        <v>All basic services are available within a 2 hours walking distance (one way)</v>
      </c>
      <c r="O10" s="633" t="str">
        <f ca="1">IFERROR(__xludf.DUMMYFUNCTION("""COMPUTED_VALUE"""),"No basic services are available within a 2 hours walking distance (one way)")</f>
        <v>No basic services are available within a 2 hours walking distance (one way)</v>
      </c>
      <c r="P10" s="631" t="str">
        <f ca="1">IFERROR(__xludf.DUMMYFUNCTION("""COMPUTED_VALUE"""),"Basic services should be defined at country level: Drinking water, primary and secondary schools, food market, NFI market, Shelter construction market, health center, hospital, pharmacy, veterinary services, transport services, water, electricity, livesto"&amp;"ck market, waste removal, communication device. Distance should be collected for each service. If data is collected at the HH level, then ask from the house. if data is collected from KI, then specify if from the center of the camp or a cleary localized s"&amp;"pot. We are not checking here distance to personal itemas such as latrines etc, only  community services.")</f>
        <v>Basic services should be defined at country level: Drinking water, primary and secondary schools, food market, NFI market, Shelter construction market, health center, hospital, pharmacy, veterinary services, transport services, water, electricity, livestock market, waste removal, communication device. Distance should be collected for each service. If data is collected at the HH level, then ask from the house. if data is collected from KI, then specify if from the center of the camp or a cleary localized spot. We are not checking here distance to personal itemas such as latrines etc, only  community services.</v>
      </c>
      <c r="Q10" s="372"/>
      <c r="R10" s="372"/>
      <c r="S10" s="372"/>
    </row>
    <row r="11" spans="1:19" s="259" customFormat="1" ht="12.5">
      <c r="A11" s="655">
        <f ca="1">IFERROR(__xludf.DUMMYFUNCTION("""COMPUTED_VALUE"""),5)</f>
        <v>5</v>
      </c>
      <c r="B11" s="630" t="str">
        <f ca="1">IFERROR(__xludf.DUMMYFUNCTION("""COMPUTED_VALUE"""),"CCCM")</f>
        <v>CCCM</v>
      </c>
      <c r="C11" s="631"/>
      <c r="D11" s="630" t="str">
        <f ca="1">IFERROR(__xludf.DUMMYFUNCTION("""COMPUTED_VALUE"""),"Impact")</f>
        <v>Impact</v>
      </c>
      <c r="E11" s="630" t="str">
        <f ca="1">IFERROR(__xludf.DUMMYFUNCTION("""COMPUTED_VALUE"""),"Impact on people")</f>
        <v>Impact on people</v>
      </c>
      <c r="F11" s="630" t="str">
        <f ca="1">IFERROR(__xludf.DUMMYFUNCTION("""COMPUTED_VALUE"""),"% of population in sites")</f>
        <v>% of population in sites</v>
      </c>
      <c r="G11" s="631" t="str">
        <f ca="1">IFERROR(__xludf.DUMMYFUNCTION("""COMPUTED_VALUE"""),"Projected % increase of population in sites over the next XX months 
Projected % of population in sites likely to remain in the next XX months")</f>
        <v>Projected % increase of population in sites over the next XX months 
Projected % of population in sites likely to remain in the next XX months</v>
      </c>
      <c r="H11" s="632">
        <f ca="1">IFERROR(__xludf.DUMMYFUNCTION("""COMPUTED_VALUE"""),0)</f>
        <v>0</v>
      </c>
      <c r="I11" s="631" t="str">
        <f ca="1">IFERROR(__xludf.DUMMYFUNCTION("""COMPUTED_VALUE"""),"KI")</f>
        <v>KI</v>
      </c>
      <c r="J11" s="631" t="str">
        <f ca="1">IFERROR(__xludf.DUMMYFUNCTION("""COMPUTED_VALUE"""),"CCCM Cluster")</f>
        <v>CCCM Cluster</v>
      </c>
      <c r="K11" s="633"/>
      <c r="L11" s="633"/>
      <c r="M11" s="633"/>
      <c r="N11" s="633"/>
      <c r="O11" s="633"/>
      <c r="P11" s="631"/>
      <c r="Q11" s="372"/>
      <c r="R11" s="372"/>
      <c r="S11" s="372"/>
    </row>
    <row r="12" spans="1:19" s="259" customFormat="1" ht="12.5">
      <c r="A12" s="655">
        <f ca="1">IFERROR(__xludf.DUMMYFUNCTION("""COMPUTED_VALUE"""),6)</f>
        <v>6</v>
      </c>
      <c r="B12" s="630" t="str">
        <f ca="1">IFERROR(__xludf.DUMMYFUNCTION("""COMPUTED_VALUE"""),"CCCM")</f>
        <v>CCCM</v>
      </c>
      <c r="C12" s="631"/>
      <c r="D12" s="630" t="str">
        <f ca="1">IFERROR(__xludf.DUMMYFUNCTION("""COMPUTED_VALUE"""),"Impact")</f>
        <v>Impact</v>
      </c>
      <c r="E12" s="630" t="str">
        <f ca="1">IFERROR(__xludf.DUMMYFUNCTION("""COMPUTED_VALUE"""),"Impact on Services")</f>
        <v>Impact on Services</v>
      </c>
      <c r="F12" s="630" t="str">
        <f ca="1">IFERROR(__xludf.DUMMYFUNCTION("""COMPUTED_VALUE"""),"% of population in sites that are physically and socially appropriate site environments")</f>
        <v>% of population in sites that are physically and socially appropriate site environments</v>
      </c>
      <c r="G12" s="631"/>
      <c r="H12" s="632">
        <f ca="1">IFERROR(__xludf.DUMMYFUNCTION("""COMPUTED_VALUE"""),1)</f>
        <v>1</v>
      </c>
      <c r="I12" s="631" t="str">
        <f ca="1">IFERROR(__xludf.DUMMYFUNCTION("""COMPUTED_VALUE"""),"HH survey / KI")</f>
        <v>HH survey / KI</v>
      </c>
      <c r="J12" s="631" t="str">
        <f ca="1">IFERROR(__xludf.DUMMYFUNCTION("""COMPUTED_VALUE"""),"CCCM Cluster")</f>
        <v>CCCM Cluster</v>
      </c>
      <c r="K12" s="633" t="str">
        <f ca="1">IFERROR(__xludf.DUMMYFUNCTION("""COMPUTED_VALUE"""),"All four of the following criteria met:
 The site is not located in an area of high risk of natural hazards (flooding, landslide etc)
 The site has a functional and appropriate administrative space;
 The site has functional and appropriate social and comm"&amp;"unal spaces;
 Site facilities are maintained")</f>
        <v>All four of the following criteria met:
 The site is not located in an area of high risk of natural hazards (flooding, landslide etc)
 The site has a functional and appropriate administrative space;
 The site has functional and appropriate social and communal spaces;
 Site facilities are maintained</v>
      </c>
      <c r="L12" s="633" t="str">
        <f ca="1">IFERROR(__xludf.DUMMYFUNCTION("""COMPUTED_VALUE"""),"Three of the following criteria met:
 The site is not located in an area of high risk of natural hazards (flooding, landslide etc)
 The site has a functional and appropriate administrative space;
 The site has functional and appropriate social and communa"&amp;"l spaces;
 Site facilities are maintained")</f>
        <v>Three of the following criteria met:
 The site is not located in an area of high risk of natural hazards (flooding, landslide etc)
 The site has a functional and appropriate administrative space;
 The site has functional and appropriate social and communal spaces;
 Site facilities are maintained</v>
      </c>
      <c r="M12" s="633" t="str">
        <f ca="1">IFERROR(__xludf.DUMMYFUNCTION("""COMPUTED_VALUE"""),"Two of the following criteria met:
 The site is not located in an area of high risk of natural hazards (flooding, landslide etc)
 The site has a functional and appropriate administrative space;
 The site has functional and appropriate social and communal "&amp;"spaces;
 Site facilities are maintained")</f>
        <v>Two of the following criteria met:
 The site is not located in an area of high risk of natural hazards (flooding, landslide etc)
 The site has a functional and appropriate administrative space;
 The site has functional and appropriate social and communal spaces;
 Site facilities are maintained</v>
      </c>
      <c r="N12" s="633" t="str">
        <f ca="1">IFERROR(__xludf.DUMMYFUNCTION("""COMPUTED_VALUE"""),"One of the following criteria met:
 The site is not located in an area of high risk of natural hazards (flooding, landslide etc)
 The site has a functional and appropriate administrative space;
 The site has functional and appropriate social and communal "&amp;"spaces;
 Site facilities are maintained")</f>
        <v>One of the following criteria met:
 The site is not located in an area of high risk of natural hazards (flooding, landslide etc)
 The site has a functional and appropriate administrative space;
 The site has functional and appropriate social and communal spaces;
 Site facilities are maintained</v>
      </c>
      <c r="O12" s="633" t="str">
        <f ca="1">IFERROR(__xludf.DUMMYFUNCTION("""COMPUTED_VALUE"""),"None of the following criteria met:
 The site is not located in an area of high risk of natural hazards (flooding, landslide etc)
 The site has a functional and appropriate administrative space;
 The site has functional and appropriate social and communal"&amp;" spaces;
 Site facilities are maintained")</f>
        <v>None of the following criteria met:
 The site is not located in an area of high risk of natural hazards (flooding, landslide etc)
 The site has a functional and appropriate administrative space;
 The site has functional and appropriate social and communal spaces;
 Site facilities are maintained</v>
      </c>
      <c r="P12" s="631"/>
      <c r="Q12" s="372"/>
      <c r="R12" s="372"/>
      <c r="S12" s="372"/>
    </row>
    <row r="13" spans="1:19" s="259" customFormat="1" ht="12.5">
      <c r="A13" s="655">
        <f ca="1">IFERROR(__xludf.DUMMYFUNCTION("""COMPUTED_VALUE"""),7)</f>
        <v>7</v>
      </c>
      <c r="B13" s="634" t="str">
        <f ca="1">IFERROR(__xludf.DUMMYFUNCTION("""COMPUTED_VALUE"""),"Cross")</f>
        <v>Cross</v>
      </c>
      <c r="C13" s="634" t="str">
        <f ca="1">IFERROR(__xludf.DUMMYFUNCTION("""COMPUTED_VALUE"""),"Disability")</f>
        <v>Disability</v>
      </c>
      <c r="D13" s="635" t="str">
        <f ca="1">IFERROR(__xludf.DUMMYFUNCTION("""COMPUTED_VALUE"""),"Humanitarian conditions")</f>
        <v>Humanitarian conditions</v>
      </c>
      <c r="E13" s="635" t="str">
        <f ca="1">IFERROR(__xludf.DUMMYFUNCTION("""COMPUTED_VALUE"""),"Physical and Mental Wellbeing")</f>
        <v>Physical and Mental Wellbeing</v>
      </c>
      <c r="F13" s="635" t="str">
        <f ca="1">IFERROR(__xludf.DUMMYFUNCTION("""COMPUTED_VALUE"""),"% of the population identified as having disabilities (in line with the Washington Group Questions)")</f>
        <v>% of the population identified as having disabilities (in line with the Washington Group Questions)</v>
      </c>
      <c r="G13" s="634"/>
      <c r="H13" s="636">
        <f ca="1">IFERROR(__xludf.DUMMYFUNCTION("""COMPUTED_VALUE"""),1)</f>
        <v>1</v>
      </c>
      <c r="I13" s="634" t="str">
        <f ca="1">IFERROR(__xludf.DUMMYFUNCTION("""COMPUTED_VALUE"""),"HH survey")</f>
        <v>HH survey</v>
      </c>
      <c r="J13" s="634" t="str">
        <f ca="1">IFERROR(__xludf.DUMMYFUNCTION("""COMPUTED_VALUE"""),"HH or Individual level survey")</f>
        <v>HH or Individual level survey</v>
      </c>
      <c r="K13" s="635" t="str">
        <f ca="1">IFERROR(__xludf.DUMMYFUNCTION("""COMPUTED_VALUE"""),"All domains are no difficulties")</f>
        <v>All domains are no difficulties</v>
      </c>
      <c r="L13" s="635" t="str">
        <f ca="1">IFERROR(__xludf.DUMMYFUNCTION("""COMPUTED_VALUE"""),"No domain is a lot of difficulties or cannot do at all, 1, 2, or 3 domains are some difficulties")</f>
        <v>No domain is a lot of difficulties or cannot do at all, 1, 2, or 3 domains are some difficulties</v>
      </c>
      <c r="M13" s="635" t="str">
        <f ca="1">IFERROR(__xludf.DUMMYFUNCTION("""COMPUTED_VALUE"""),"No domain is cannot do at all, 1, 2, or 3 domains are a lot of difficulties OR no domain is a lot of difficulties or cannot do at all; at least 4 domains are some difficulties")</f>
        <v>No domain is cannot do at all, 1, 2, or 3 domains are a lot of difficulties OR no domain is a lot of difficulties or cannot do at all; at least 4 domains are some difficulties</v>
      </c>
      <c r="N13" s="635" t="str">
        <f ca="1">IFERROR(__xludf.DUMMYFUNCTION("""COMPUTED_VALUE"""),"No domain is cannot do at all, 1, 2, or 3 domains are a lot of difficulties OR no domain is a lot of difficulties or cannot do at all; at least 4 domains are some difficulties")</f>
        <v>No domain is cannot do at all, 1, 2, or 3 domains are a lot of difficulties OR no domain is a lot of difficulties or cannot do at all; at least 4 domains are some difficulties</v>
      </c>
      <c r="O13" s="635" t="str">
        <f ca="1">IFERROR(__xludf.DUMMYFUNCTION("""COMPUTED_VALUE"""),"At least 4 domains are cannot do all")</f>
        <v>At least 4 domains are cannot do all</v>
      </c>
      <c r="P13" s="634" t="str">
        <f ca="1">IFERROR(__xludf.DUMMYFUNCTION("""COMPUTED_VALUE"""),"These thresholds are for individuals - we are not sure how they can be used at the household/area level.  This indicator will likely have to be shifted slightly for use in JIAG so that it's not focused on % of population but rather by severity of disabili"&amp;"ties.  We are still following up on this.")</f>
        <v>These thresholds are for individuals - we are not sure how they can be used at the household/area level.  This indicator will likely have to be shifted slightly for use in JIAG so that it's not focused on % of population but rather by severity of disabilities.  We are still following up on this.</v>
      </c>
      <c r="Q13" s="372"/>
      <c r="R13" s="372"/>
      <c r="S13" s="372"/>
    </row>
    <row r="14" spans="1:19" s="259" customFormat="1" ht="12.5">
      <c r="A14" s="655">
        <f ca="1">IFERROR(__xludf.DUMMYFUNCTION("""COMPUTED_VALUE"""),8)</f>
        <v>8</v>
      </c>
      <c r="B14" s="637" t="str">
        <f ca="1">IFERROR(__xludf.DUMMYFUNCTION("""COMPUTED_VALUE"""),"Education")</f>
        <v>Education</v>
      </c>
      <c r="C14" s="637" t="str">
        <f ca="1">IFERROR(__xludf.DUMMYFUNCTION("""COMPUTED_VALUE"""),"Access and learning environment")</f>
        <v>Access and learning environment</v>
      </c>
      <c r="D14" s="637" t="str">
        <f ca="1">IFERROR(__xludf.DUMMYFUNCTION("""COMPUTED_VALUE"""),"Humanitarian conditions")</f>
        <v>Humanitarian conditions</v>
      </c>
      <c r="E14" s="637" t="str">
        <f ca="1">IFERROR(__xludf.DUMMYFUNCTION("""COMPUTED_VALUE"""),"Coping Mechanisms")</f>
        <v>Coping Mechanisms</v>
      </c>
      <c r="F14" s="637" t="str">
        <f ca="1">IFERROR(__xludf.DUMMYFUNCTION("""COMPUTED_VALUE"""),"% children dropping out of school in the last XX months")</f>
        <v>% children dropping out of school in the last XX months</v>
      </c>
      <c r="G14" s="637"/>
      <c r="H14" s="638">
        <f ca="1">IFERROR(__xludf.DUMMYFUNCTION("""COMPUTED_VALUE"""),1)</f>
        <v>1</v>
      </c>
      <c r="I14" s="637" t="str">
        <f ca="1">IFERROR(__xludf.DUMMYFUNCTION("""COMPUTED_VALUE"""),"HH survey / KI")</f>
        <v>HH survey / KI</v>
      </c>
      <c r="J14" s="637" t="str">
        <f ca="1">IFERROR(__xludf.DUMMYFUNCTION("""COMPUTED_VALUE"""),"MSNA / EMIS or school database / EiE assessment")</f>
        <v>MSNA / EMIS or school database / EiE assessment</v>
      </c>
      <c r="K14" s="639" t="str">
        <f ca="1">IFERROR(__xludf.DUMMYFUNCTION("""COMPUTED_VALUE"""),"HH: No school-aged children in the HH dropped ou
 Area: 0% of school-aged children dropped out")</f>
        <v>HH: No school-aged children in the HH dropped ou
 Area: 0% of school-aged children dropped out</v>
      </c>
      <c r="L14" s="639" t="str">
        <f ca="1">IFERROR(__xludf.DUMMYFUNCTION("""COMPUTED_VALUE"""),"Area: &lt;10% of school-aged children dropped out")</f>
        <v>Area: &lt;10% of school-aged children dropped out</v>
      </c>
      <c r="M14" s="639" t="str">
        <f ca="1">IFERROR(__xludf.DUMMYFUNCTION("""COMPUTED_VALUE"""),"HH: Some school-aged children in the HH attend school
 Area: &lt;20% of school-aged children dropped out")</f>
        <v>HH: Some school-aged children in the HH attend school
 Area: &lt;20% of school-aged children dropped out</v>
      </c>
      <c r="N14" s="639" t="str">
        <f ca="1">IFERROR(__xludf.DUMMYFUNCTION("""COMPUTED_VALUE"""),"Area: &lt;30% of school-aged children dropped out")</f>
        <v>Area: &lt;30% of school-aged children dropped out</v>
      </c>
      <c r="O14" s="639" t="str">
        <f ca="1">IFERROR(__xludf.DUMMYFUNCTION("""COMPUTED_VALUE"""),"HH: All school-aged children in the HH dropped out
 Area: &gt;=30% of school-aged children dropped out")</f>
        <v>HH: All school-aged children in the HH dropped out
 Area: &gt;=30% of school-aged children dropped out</v>
      </c>
      <c r="P14" s="637" t="str">
        <f ca="1">IFERROR(__xludf.DUMMYFUNCTION("""COMPUTED_VALUE"""),"Country-level thresholds should be amended based on the pre-crisis drop-out rate")</f>
        <v>Country-level thresholds should be amended based on the pre-crisis drop-out rate</v>
      </c>
      <c r="Q14" s="372"/>
      <c r="R14" s="372"/>
      <c r="S14" s="372"/>
    </row>
    <row r="15" spans="1:19" s="259" customFormat="1" ht="12.5">
      <c r="A15" s="655">
        <f ca="1">IFERROR(__xludf.DUMMYFUNCTION("""COMPUTED_VALUE"""),9)</f>
        <v>9</v>
      </c>
      <c r="B15" s="637" t="str">
        <f ca="1">IFERROR(__xludf.DUMMYFUNCTION("""COMPUTED_VALUE"""),"Education")</f>
        <v>Education</v>
      </c>
      <c r="C15" s="637" t="str">
        <f ca="1">IFERROR(__xludf.DUMMYFUNCTION("""COMPUTED_VALUE"""),"Access and learning environment")</f>
        <v>Access and learning environment</v>
      </c>
      <c r="D15" s="637" t="str">
        <f ca="1">IFERROR(__xludf.DUMMYFUNCTION("""COMPUTED_VALUE"""),"Humanitarian conditions")</f>
        <v>Humanitarian conditions</v>
      </c>
      <c r="E15" s="637" t="str">
        <f ca="1">IFERROR(__xludf.DUMMYFUNCTION("""COMPUTED_VALUE"""),"Coping Mechanisms")</f>
        <v>Coping Mechanisms</v>
      </c>
      <c r="F15" s="637" t="str">
        <f ca="1">IFERROR(__xludf.DUMMYFUNCTION("""COMPUTED_VALUE"""),"% households by highest education level (primary, secondary and tertiary)")</f>
        <v>% households by highest education level (primary, secondary and tertiary)</v>
      </c>
      <c r="G15" s="637"/>
      <c r="H15" s="638">
        <f ca="1">IFERROR(__xludf.DUMMYFUNCTION("""COMPUTED_VALUE"""),2)</f>
        <v>2</v>
      </c>
      <c r="I15" s="637" t="str">
        <f ca="1">IFERROR(__xludf.DUMMYFUNCTION("""COMPUTED_VALUE"""),"HH survey")</f>
        <v>HH survey</v>
      </c>
      <c r="J15" s="637" t="str">
        <f ca="1">IFERROR(__xludf.DUMMYFUNCTION("""COMPUTED_VALUE"""),"MSNA")</f>
        <v>MSNA</v>
      </c>
      <c r="K15" s="639" t="str">
        <f ca="1">IFERROR(__xludf.DUMMYFUNCTION("""COMPUTED_VALUE"""),"HH: at least 1 member completed tertiary degree OR vocational qualification")</f>
        <v>HH: at least 1 member completed tertiary degree OR vocational qualification</v>
      </c>
      <c r="L15" s="639" t="str">
        <f ca="1">IFERROR(__xludf.DUMMYFUNCTION("""COMPUTED_VALUE"""),"HH: at least 1 member completed secondary education")</f>
        <v>HH: at least 1 member completed secondary education</v>
      </c>
      <c r="M15" s="639" t="str">
        <f ca="1">IFERROR(__xludf.DUMMYFUNCTION("""COMPUTED_VALUE"""),"HH: at least 1 member completed primary education")</f>
        <v>HH: at least 1 member completed primary education</v>
      </c>
      <c r="N15" s="639" t="str">
        <f ca="1">IFERROR(__xludf.DUMMYFUNCTION("""COMPUTED_VALUE"""),"HH: at least 1 member started (though did not complete) primary education")</f>
        <v>HH: at least 1 member started (though did not complete) primary education</v>
      </c>
      <c r="O15" s="639" t="str">
        <f ca="1">IFERROR(__xludf.DUMMYFUNCTION("""COMPUTED_VALUE"""),"HH: No member ever attended school")</f>
        <v>HH: No member ever attended school</v>
      </c>
      <c r="P15" s="637"/>
      <c r="Q15" s="372"/>
      <c r="R15" s="372"/>
      <c r="S15" s="372"/>
    </row>
    <row r="16" spans="1:19" s="259" customFormat="1" ht="12.5">
      <c r="A16" s="655">
        <f ca="1">IFERROR(__xludf.DUMMYFUNCTION("""COMPUTED_VALUE"""),10)</f>
        <v>10</v>
      </c>
      <c r="B16" s="637" t="str">
        <f ca="1">IFERROR(__xludf.DUMMYFUNCTION("""COMPUTED_VALUE"""),"Education")</f>
        <v>Education</v>
      </c>
      <c r="C16" s="637" t="str">
        <f ca="1">IFERROR(__xludf.DUMMYFUNCTION("""COMPUTED_VALUE"""),"Access and learning environment")</f>
        <v>Access and learning environment</v>
      </c>
      <c r="D16" s="637" t="str">
        <f ca="1">IFERROR(__xludf.DUMMYFUNCTION("""COMPUTED_VALUE"""),"Humanitarian conditions")</f>
        <v>Humanitarian conditions</v>
      </c>
      <c r="E16" s="637" t="str">
        <f ca="1">IFERROR(__xludf.DUMMYFUNCTION("""COMPUTED_VALUE"""),"Living Standards")</f>
        <v>Living Standards</v>
      </c>
      <c r="F16" s="637" t="str">
        <f ca="1">IFERROR(__xludf.DUMMYFUNCTION("""COMPUTED_VALUE"""),"% children not attending school by sex and school-level (as a result of the crisis)")</f>
        <v>% children not attending school by sex and school-level (as a result of the crisis)</v>
      </c>
      <c r="G16" s="637"/>
      <c r="H16" s="638">
        <f ca="1">IFERROR(__xludf.DUMMYFUNCTION("""COMPUTED_VALUE"""),1)</f>
        <v>1</v>
      </c>
      <c r="I16" s="637" t="str">
        <f ca="1">IFERROR(__xludf.DUMMYFUNCTION("""COMPUTED_VALUE"""),"HH survey / KI")</f>
        <v>HH survey / KI</v>
      </c>
      <c r="J16" s="637" t="str">
        <f ca="1">IFERROR(__xludf.DUMMYFUNCTION("""COMPUTED_VALUE"""),"MSNA / EMIS or school database / EiE assessment")</f>
        <v>MSNA / EMIS or school database / EiE assessment</v>
      </c>
      <c r="K16" s="639" t="str">
        <f ca="1">IFERROR(__xludf.DUMMYFUNCTION("""COMPUTED_VALUE"""),"HH: All school-aged children in the HH attend school
 Area: 100% of school-aged children attended school in the current/most recent school year")</f>
        <v>HH: All school-aged children in the HH attend school
 Area: 100% of school-aged children attended school in the current/most recent school year</v>
      </c>
      <c r="L16" s="639" t="str">
        <f ca="1">IFERROR(__xludf.DUMMYFUNCTION("""COMPUTED_VALUE"""),"HH: NA
 Area: &gt;75% of school-aged children attended school in the current/most recent school year")</f>
        <v>HH: NA
 Area: &gt;75% of school-aged children attended school in the current/most recent school year</v>
      </c>
      <c r="M16" s="639" t="str">
        <f ca="1">IFERROR(__xludf.DUMMYFUNCTION("""COMPUTED_VALUE"""),"HH: Some school-aged children in the HH attend school
 Area: &gt;50% of school-aged children attended school in the current/most recent school year")</f>
        <v>HH: Some school-aged children in the HH attend school
 Area: &gt;50% of school-aged children attended school in the current/most recent school year</v>
      </c>
      <c r="N16" s="639" t="str">
        <f ca="1">IFERROR(__xludf.DUMMYFUNCTION("""COMPUTED_VALUE"""),"HH: NA
Area: &gt;25% of school-aged children attended school in the current/most recent school year")</f>
        <v>HH: NA
Area: &gt;25% of school-aged children attended school in the current/most recent school year</v>
      </c>
      <c r="O16" s="639" t="str">
        <f ca="1">IFERROR(__xludf.DUMMYFUNCTION("""COMPUTED_VALUE"""),"HH: No school-aged children in the HH attend school
 Area: 0-25% of school-aged children attended school in the current/most recent school year")</f>
        <v>HH: No school-aged children in the HH attend school
 Area: 0-25% of school-aged children attended school in the current/most recent school year</v>
      </c>
      <c r="P16" s="637" t="str">
        <f ca="1">IFERROR(__xludf.DUMMYFUNCTION("""COMPUTED_VALUE"""),"Country-level thresholds should be amended based on the pre-crisis enrolment rate")</f>
        <v>Country-level thresholds should be amended based on the pre-crisis enrolment rate</v>
      </c>
      <c r="Q16" s="372"/>
      <c r="R16" s="372"/>
      <c r="S16" s="372"/>
    </row>
    <row r="17" spans="1:19" s="259" customFormat="1" ht="12.5">
      <c r="A17" s="655">
        <f ca="1">IFERROR(__xludf.DUMMYFUNCTION("""COMPUTED_VALUE"""),11)</f>
        <v>11</v>
      </c>
      <c r="B17" s="637" t="str">
        <f ca="1">IFERROR(__xludf.DUMMYFUNCTION("""COMPUTED_VALUE"""),"Education")</f>
        <v>Education</v>
      </c>
      <c r="C17" s="637" t="str">
        <f ca="1">IFERROR(__xludf.DUMMYFUNCTION("""COMPUTED_VALUE"""),"Attacks on education")</f>
        <v>Attacks on education</v>
      </c>
      <c r="D17" s="637" t="str">
        <f ca="1">IFERROR(__xludf.DUMMYFUNCTION("""COMPUTED_VALUE"""),"Humanitarian conditions")</f>
        <v>Humanitarian conditions</v>
      </c>
      <c r="E17" s="637" t="str">
        <f ca="1">IFERROR(__xludf.DUMMYFUNCTION("""COMPUTED_VALUE"""),"Physical and Mental Wellbeing")</f>
        <v>Physical and Mental Wellbeing</v>
      </c>
      <c r="F17" s="637" t="str">
        <f ca="1">IFERROR(__xludf.DUMMYFUNCTION("""COMPUTED_VALUE"""),"% of children who have suffered attacks in or on their way to school in the last XX months")</f>
        <v>% of children who have suffered attacks in or on their way to school in the last XX months</v>
      </c>
      <c r="G17" s="637"/>
      <c r="H17" s="638">
        <f ca="1">IFERROR(__xludf.DUMMYFUNCTION("""COMPUTED_VALUE"""),1)</f>
        <v>1</v>
      </c>
      <c r="I17" s="637" t="str">
        <f ca="1">IFERROR(__xludf.DUMMYFUNCTION("""COMPUTED_VALUE"""),"HH survey / KI")</f>
        <v>HH survey / KI</v>
      </c>
      <c r="J17" s="637" t="str">
        <f ca="1">IFERROR(__xludf.DUMMYFUNCTION("""COMPUTED_VALUE"""),"EiE/protection monitoring")</f>
        <v>EiE/protection monitoring</v>
      </c>
      <c r="K17" s="639" t="str">
        <f ca="1">IFERROR(__xludf.DUMMYFUNCTION("""COMPUTED_VALUE"""),"No attacks")</f>
        <v>No attacks</v>
      </c>
      <c r="L17" s="639" t="str">
        <f ca="1">IFERROR(__xludf.DUMMYFUNCTION("""COMPUTED_VALUE"""),"Verbal attacks")</f>
        <v>Verbal attacks</v>
      </c>
      <c r="M17" s="639" t="str">
        <f ca="1">IFERROR(__xludf.DUMMYFUNCTION("""COMPUTED_VALUE"""),"Physical assault without serious injury")</f>
        <v>Physical assault without serious injury</v>
      </c>
      <c r="N17" s="639" t="str">
        <f ca="1">IFERROR(__xludf.DUMMYFUNCTION("""COMPUTED_VALUE"""),"Physical assault with serious injury")</f>
        <v>Physical assault with serious injury</v>
      </c>
      <c r="O17" s="639" t="str">
        <f ca="1">IFERROR(__xludf.DUMMYFUNCTION("""COMPUTED_VALUE"""),"Physical assault with fatal injury")</f>
        <v>Physical assault with fatal injury</v>
      </c>
      <c r="P17" s="637"/>
      <c r="Q17" s="372"/>
      <c r="R17" s="372"/>
      <c r="S17" s="372"/>
    </row>
    <row r="18" spans="1:19" s="259" customFormat="1" ht="12.5">
      <c r="A18" s="655">
        <f ca="1">IFERROR(__xludf.DUMMYFUNCTION("""COMPUTED_VALUE"""),12)</f>
        <v>12</v>
      </c>
      <c r="B18" s="637" t="str">
        <f ca="1">IFERROR(__xludf.DUMMYFUNCTION("""COMPUTED_VALUE"""),"Education")</f>
        <v>Education</v>
      </c>
      <c r="C18" s="637" t="str">
        <f ca="1">IFERROR(__xludf.DUMMYFUNCTION("""COMPUTED_VALUE"""),"Attacks on education")</f>
        <v>Attacks on education</v>
      </c>
      <c r="D18" s="637" t="str">
        <f ca="1">IFERROR(__xludf.DUMMYFUNCTION("""COMPUTED_VALUE"""),"Humanitarian conditions")</f>
        <v>Humanitarian conditions</v>
      </c>
      <c r="E18" s="637" t="str">
        <f ca="1">IFERROR(__xludf.DUMMYFUNCTION("""COMPUTED_VALUE"""),"Physical and Mental Wellbeing")</f>
        <v>Physical and Mental Wellbeing</v>
      </c>
      <c r="F18" s="637" t="str">
        <f ca="1">IFERROR(__xludf.DUMMYFUNCTION("""COMPUTED_VALUE"""),"% of teachers who have suffered attacks in or on their way to school in the last XX months")</f>
        <v>% of teachers who have suffered attacks in or on their way to school in the last XX months</v>
      </c>
      <c r="G18" s="637"/>
      <c r="H18" s="638">
        <f ca="1">IFERROR(__xludf.DUMMYFUNCTION("""COMPUTED_VALUE"""),1)</f>
        <v>1</v>
      </c>
      <c r="I18" s="637" t="str">
        <f ca="1">IFERROR(__xludf.DUMMYFUNCTION("""COMPUTED_VALUE"""),"KI")</f>
        <v>KI</v>
      </c>
      <c r="J18" s="637" t="str">
        <f ca="1">IFERROR(__xludf.DUMMYFUNCTION("""COMPUTED_VALUE"""),"EiE/protection monitoring")</f>
        <v>EiE/protection monitoring</v>
      </c>
      <c r="K18" s="639" t="str">
        <f ca="1">IFERROR(__xludf.DUMMYFUNCTION("""COMPUTED_VALUE"""),"No attacks")</f>
        <v>No attacks</v>
      </c>
      <c r="L18" s="639" t="str">
        <f ca="1">IFERROR(__xludf.DUMMYFUNCTION("""COMPUTED_VALUE"""),"Verbal attacks")</f>
        <v>Verbal attacks</v>
      </c>
      <c r="M18" s="639" t="str">
        <f ca="1">IFERROR(__xludf.DUMMYFUNCTION("""COMPUTED_VALUE"""),"Physical assault without serious injury")</f>
        <v>Physical assault without serious injury</v>
      </c>
      <c r="N18" s="639" t="str">
        <f ca="1">IFERROR(__xludf.DUMMYFUNCTION("""COMPUTED_VALUE"""),"Physical assault with serious injury")</f>
        <v>Physical assault with serious injury</v>
      </c>
      <c r="O18" s="639" t="str">
        <f ca="1">IFERROR(__xludf.DUMMYFUNCTION("""COMPUTED_VALUE"""),"Physical assault with fatal injury")</f>
        <v>Physical assault with fatal injury</v>
      </c>
      <c r="P18" s="637"/>
      <c r="Q18" s="372"/>
      <c r="R18" s="372"/>
      <c r="S18" s="372"/>
    </row>
    <row r="19" spans="1:19" s="259" customFormat="1" ht="12.5">
      <c r="A19" s="655">
        <f ca="1">IFERROR(__xludf.DUMMYFUNCTION("""COMPUTED_VALUE"""),13)</f>
        <v>13</v>
      </c>
      <c r="B19" s="637" t="str">
        <f ca="1">IFERROR(__xludf.DUMMYFUNCTION("""COMPUTED_VALUE"""),"Education")</f>
        <v>Education</v>
      </c>
      <c r="C19" s="637" t="str">
        <f ca="1">IFERROR(__xludf.DUMMYFUNCTION("""COMPUTED_VALUE"""),"Attacks on education")</f>
        <v>Attacks on education</v>
      </c>
      <c r="D19" s="637" t="str">
        <f ca="1">IFERROR(__xludf.DUMMYFUNCTION("""COMPUTED_VALUE"""),"Impact")</f>
        <v>Impact</v>
      </c>
      <c r="E19" s="637" t="str">
        <f ca="1">IFERROR(__xludf.DUMMYFUNCTION("""COMPUTED_VALUE"""),"Impact on Services")</f>
        <v>Impact on Services</v>
      </c>
      <c r="F19" s="637" t="str">
        <f ca="1">IFERROR(__xludf.DUMMYFUNCTION("""COMPUTED_VALUE"""),"Number of attacks on education personnel in the lat XX months")</f>
        <v>Number of attacks on education personnel in the lat XX months</v>
      </c>
      <c r="G19" s="637"/>
      <c r="H19" s="638">
        <f ca="1">IFERROR(__xludf.DUMMYFUNCTION("""COMPUTED_VALUE"""),0)</f>
        <v>0</v>
      </c>
      <c r="I19" s="637" t="str">
        <f ca="1">IFERROR(__xludf.DUMMYFUNCTION("""COMPUTED_VALUE"""),"KI")</f>
        <v>KI</v>
      </c>
      <c r="J19" s="637"/>
      <c r="K19" s="639"/>
      <c r="L19" s="639"/>
      <c r="M19" s="639"/>
      <c r="N19" s="639"/>
      <c r="O19" s="639"/>
      <c r="P19" s="637" t="str">
        <f ca="1">IFERROR(__xludf.DUMMYFUNCTION("""COMPUTED_VALUE"""),"Thresholds to be developed by the Education Cluster in country.")</f>
        <v>Thresholds to be developed by the Education Cluster in country.</v>
      </c>
      <c r="Q19" s="372"/>
      <c r="R19" s="372"/>
      <c r="S19" s="372"/>
    </row>
    <row r="20" spans="1:19" s="259" customFormat="1" ht="12.5">
      <c r="A20" s="655">
        <f ca="1">IFERROR(__xludf.DUMMYFUNCTION("""COMPUTED_VALUE"""),14)</f>
        <v>14</v>
      </c>
      <c r="B20" s="637" t="str">
        <f ca="1">IFERROR(__xludf.DUMMYFUNCTION("""COMPUTED_VALUE"""),"Education")</f>
        <v>Education</v>
      </c>
      <c r="C20" s="637" t="str">
        <f ca="1">IFERROR(__xludf.DUMMYFUNCTION("""COMPUTED_VALUE"""),"Attacks on education")</f>
        <v>Attacks on education</v>
      </c>
      <c r="D20" s="637" t="str">
        <f ca="1">IFERROR(__xludf.DUMMYFUNCTION("""COMPUTED_VALUE"""),"Impact")</f>
        <v>Impact</v>
      </c>
      <c r="E20" s="637" t="str">
        <f ca="1">IFERROR(__xludf.DUMMYFUNCTION("""COMPUTED_VALUE"""),"Impact on Services")</f>
        <v>Impact on Services</v>
      </c>
      <c r="F20" s="637" t="str">
        <f ca="1">IFERROR(__xludf.DUMMYFUNCTION("""COMPUTED_VALUE"""),"Number of attacks on school in the last XX months")</f>
        <v>Number of attacks on school in the last XX months</v>
      </c>
      <c r="G20" s="637"/>
      <c r="H20" s="638">
        <f ca="1">IFERROR(__xludf.DUMMYFUNCTION("""COMPUTED_VALUE"""),0)</f>
        <v>0</v>
      </c>
      <c r="I20" s="637" t="str">
        <f ca="1">IFERROR(__xludf.DUMMYFUNCTION("""COMPUTED_VALUE"""),"KI")</f>
        <v>KI</v>
      </c>
      <c r="J20" s="637"/>
      <c r="K20" s="639"/>
      <c r="L20" s="639"/>
      <c r="M20" s="639"/>
      <c r="N20" s="639"/>
      <c r="O20" s="639"/>
      <c r="P20" s="637" t="str">
        <f ca="1">IFERROR(__xludf.DUMMYFUNCTION("""COMPUTED_VALUE"""),"Thresholds to be developed by the Education Cluster in country.")</f>
        <v>Thresholds to be developed by the Education Cluster in country.</v>
      </c>
      <c r="Q20" s="372"/>
      <c r="R20" s="372"/>
      <c r="S20" s="372"/>
    </row>
    <row r="21" spans="1:19" s="259" customFormat="1" ht="12.5">
      <c r="A21" s="655">
        <f ca="1">IFERROR(__xludf.DUMMYFUNCTION("""COMPUTED_VALUE"""),15)</f>
        <v>15</v>
      </c>
      <c r="B21" s="637" t="str">
        <f ca="1">IFERROR(__xludf.DUMMYFUNCTION("""COMPUTED_VALUE"""),"Education")</f>
        <v>Education</v>
      </c>
      <c r="C21" s="637" t="str">
        <f ca="1">IFERROR(__xludf.DUMMYFUNCTION("""COMPUTED_VALUE"""),"Attacks on education")</f>
        <v>Attacks on education</v>
      </c>
      <c r="D21" s="637" t="str">
        <f ca="1">IFERROR(__xludf.DUMMYFUNCTION("""COMPUTED_VALUE"""),"Impact")</f>
        <v>Impact</v>
      </c>
      <c r="E21" s="637" t="str">
        <f ca="1">IFERROR(__xludf.DUMMYFUNCTION("""COMPUTED_VALUE"""),"Impact on Services")</f>
        <v>Impact on Services</v>
      </c>
      <c r="F21" s="637" t="str">
        <f ca="1">IFERROR(__xludf.DUMMYFUNCTION("""COMPUTED_VALUE"""),"Number of schools occupied by armed groups in the last XX months")</f>
        <v>Number of schools occupied by armed groups in the last XX months</v>
      </c>
      <c r="G21" s="637"/>
      <c r="H21" s="638">
        <f ca="1">IFERROR(__xludf.DUMMYFUNCTION("""COMPUTED_VALUE"""),0)</f>
        <v>0</v>
      </c>
      <c r="I21" s="637" t="str">
        <f ca="1">IFERROR(__xludf.DUMMYFUNCTION("""COMPUTED_VALUE"""),"KI")</f>
        <v>KI</v>
      </c>
      <c r="J21" s="637"/>
      <c r="K21" s="639"/>
      <c r="L21" s="639"/>
      <c r="M21" s="639"/>
      <c r="N21" s="639"/>
      <c r="O21" s="639"/>
      <c r="P21" s="637"/>
      <c r="Q21" s="372"/>
      <c r="R21" s="372"/>
      <c r="S21" s="372"/>
    </row>
    <row r="22" spans="1:19" s="259" customFormat="1" ht="12.5">
      <c r="A22" s="655">
        <f ca="1">IFERROR(__xludf.DUMMYFUNCTION("""COMPUTED_VALUE"""),16)</f>
        <v>16</v>
      </c>
      <c r="B22" s="637" t="str">
        <f ca="1">IFERROR(__xludf.DUMMYFUNCTION("""COMPUTED_VALUE"""),"Education")</f>
        <v>Education</v>
      </c>
      <c r="C22" s="637" t="str">
        <f ca="1">IFERROR(__xludf.DUMMYFUNCTION("""COMPUTED_VALUE"""),"WASH in schools")</f>
        <v>WASH in schools</v>
      </c>
      <c r="D22" s="637" t="str">
        <f ca="1">IFERROR(__xludf.DUMMYFUNCTION("""COMPUTED_VALUE"""),"Humanitarian conditions")</f>
        <v>Humanitarian conditions</v>
      </c>
      <c r="E22" s="637" t="str">
        <f ca="1">IFERROR(__xludf.DUMMYFUNCTION("""COMPUTED_VALUE"""),"Living Standards")</f>
        <v>Living Standards</v>
      </c>
      <c r="F22" s="637" t="str">
        <f ca="1">IFERROR(__xludf.DUMMYFUNCTION("""COMPUTED_VALUE"""),"% children in schools without access to an improved drinking water source")</f>
        <v>% children in schools without access to an improved drinking water source</v>
      </c>
      <c r="G22" s="637"/>
      <c r="H22" s="637" t="str">
        <f ca="1">IFERROR(__xludf.DUMMYFUNCTION("""COMPUTED_VALUE"""),"2; In epidemic situation, level 1")</f>
        <v>2; In epidemic situation, level 1</v>
      </c>
      <c r="I22" s="637" t="str">
        <f ca="1">IFERROR(__xludf.DUMMYFUNCTION("""COMPUTED_VALUE"""),"KI")</f>
        <v>KI</v>
      </c>
      <c r="J22" s="637" t="str">
        <f ca="1">IFERROR(__xludf.DUMMYFUNCTION("""COMPUTED_VALUE"""),"EiE assessment")</f>
        <v>EiE assessment</v>
      </c>
      <c r="K22" s="639" t="str">
        <f ca="1">IFERROR(__xludf.DUMMYFUNCTION("""COMPUTED_VALUE"""),"Area: 0-20%
Water available from an improved sources located on the premises
")</f>
        <v xml:space="preserve">Area: 0-20%
Water available from an improved sources located on the premises
</v>
      </c>
      <c r="L22" s="639" t="str">
        <f ca="1">IFERROR(__xludf.DUMMYFUNCTION("""COMPUTED_VALUE"""),"21-40%
Water available from an improved source not on premises")</f>
        <v>21-40%
Water available from an improved source not on premises</v>
      </c>
      <c r="M22" s="639" t="str">
        <f ca="1">IFERROR(__xludf.DUMMYFUNCTION("""COMPUTED_VALUE"""),"41-60%
Water available from an unimproved source on premises")</f>
        <v>41-60%
Water available from an unimproved source on premises</v>
      </c>
      <c r="N22" s="639" t="str">
        <f ca="1">IFERROR(__xludf.DUMMYFUNCTION("""COMPUTED_VALUE"""),"61-80%
Water from unimproved source not on premises")</f>
        <v>61-80%
Water from unimproved source not on premises</v>
      </c>
      <c r="O22" s="639" t="str">
        <f ca="1">IFERROR(__xludf.DUMMYFUNCTION("""COMPUTED_VALUE"""),"81-100%
No water source")</f>
        <v>81-100%
No water source</v>
      </c>
      <c r="P22" s="637"/>
      <c r="Q22" s="372"/>
      <c r="R22" s="372"/>
      <c r="S22" s="372"/>
    </row>
    <row r="23" spans="1:19" s="259" customFormat="1" ht="12.5">
      <c r="A23" s="655">
        <f ca="1">IFERROR(__xludf.DUMMYFUNCTION("""COMPUTED_VALUE"""),17)</f>
        <v>17</v>
      </c>
      <c r="B23" s="637" t="str">
        <f ca="1">IFERROR(__xludf.DUMMYFUNCTION("""COMPUTED_VALUE"""),"Education")</f>
        <v>Education</v>
      </c>
      <c r="C23" s="637" t="str">
        <f ca="1">IFERROR(__xludf.DUMMYFUNCTION("""COMPUTED_VALUE"""),"WASH in schools")</f>
        <v>WASH in schools</v>
      </c>
      <c r="D23" s="637" t="str">
        <f ca="1">IFERROR(__xludf.DUMMYFUNCTION("""COMPUTED_VALUE"""),"Humanitarian conditions")</f>
        <v>Humanitarian conditions</v>
      </c>
      <c r="E23" s="637" t="str">
        <f ca="1">IFERROR(__xludf.DUMMYFUNCTION("""COMPUTED_VALUE"""),"Living Standards")</f>
        <v>Living Standards</v>
      </c>
      <c r="F23" s="637" t="str">
        <f ca="1">IFERROR(__xludf.DUMMYFUNCTION("""COMPUTED_VALUE"""),"% children in schools without access to hygienic latrines")</f>
        <v>% children in schools without access to hygienic latrines</v>
      </c>
      <c r="G23" s="637"/>
      <c r="H23" s="637" t="str">
        <f ca="1">IFERROR(__xludf.DUMMYFUNCTION("""COMPUTED_VALUE"""),"2; In epidemic situation, level 2")</f>
        <v>2; In epidemic situation, level 2</v>
      </c>
      <c r="I23" s="637" t="str">
        <f ca="1">IFERROR(__xludf.DUMMYFUNCTION("""COMPUTED_VALUE"""),"KI")</f>
        <v>KI</v>
      </c>
      <c r="J23" s="637" t="str">
        <f ca="1">IFERROR(__xludf.DUMMYFUNCTION("""COMPUTED_VALUE"""),"EiE assessment")</f>
        <v>EiE assessment</v>
      </c>
      <c r="K23" s="639" t="str">
        <f ca="1">IFERROR(__xludf.DUMMYFUNCTION("""COMPUTED_VALUE"""),"Area: 0-20%
Access to gender-segregated improved sanitation facilities, shared with fewer than 50 students")</f>
        <v>Area: 0-20%
Access to gender-segregated improved sanitation facilities, shared with fewer than 50 students</v>
      </c>
      <c r="L23" s="639" t="str">
        <f ca="1">IFERROR(__xludf.DUMMYFUNCTION("""COMPUTED_VALUE"""),"Area: 21-40%
Access to improved sanitation facilities, not gender-segregated, shared with fewer than 50 students")</f>
        <v>Area: 21-40%
Access to improved sanitation facilities, not gender-segregated, shared with fewer than 50 students</v>
      </c>
      <c r="M23" s="639" t="str">
        <f ca="1">IFERROR(__xludf.DUMMYFUNCTION("""COMPUTED_VALUE"""),"Area: 41-60%
Access to improved sanitation facilities, shared with more than 50 students")</f>
        <v>Area: 41-60%
Access to improved sanitation facilities, shared with more than 50 students</v>
      </c>
      <c r="N23" s="639" t="str">
        <f ca="1">IFERROR(__xludf.DUMMYFUNCTION("""COMPUTED_VALUE"""),"Area: 61-80%
Access to unimproved facilities OR access to improved facilities shared with more than 100 students")</f>
        <v>Area: 61-80%
Access to unimproved facilities OR access to improved facilities shared with more than 100 students</v>
      </c>
      <c r="O23" s="639" t="str">
        <f ca="1">IFERROR(__xludf.DUMMYFUNCTION("""COMPUTED_VALUE"""),"Area: 81-100%
Disposal of human faeces in open spaces or with solid waste")</f>
        <v>Area: 81-100%
Disposal of human faeces in open spaces or with solid waste</v>
      </c>
      <c r="P23" s="637"/>
      <c r="Q23" s="372"/>
      <c r="R23" s="372"/>
      <c r="S23" s="372"/>
    </row>
    <row r="24" spans="1:19" s="259" customFormat="1" ht="12.5">
      <c r="A24" s="655">
        <f ca="1">IFERROR(__xludf.DUMMYFUNCTION("""COMPUTED_VALUE"""),18)</f>
        <v>18</v>
      </c>
      <c r="B24" s="637" t="str">
        <f ca="1">IFERROR(__xludf.DUMMYFUNCTION("""COMPUTED_VALUE"""),"Education")</f>
        <v>Education</v>
      </c>
      <c r="C24" s="637"/>
      <c r="D24" s="637" t="str">
        <f ca="1">IFERROR(__xludf.DUMMYFUNCTION("""COMPUTED_VALUE"""),"Impact")</f>
        <v>Impact</v>
      </c>
      <c r="E24" s="637" t="str">
        <f ca="1">IFERROR(__xludf.DUMMYFUNCTION("""COMPUTED_VALUE"""),"Impact on Services")</f>
        <v>Impact on Services</v>
      </c>
      <c r="F24" s="637" t="str">
        <f ca="1">IFERROR(__xludf.DUMMYFUNCTION("""COMPUTED_VALUE"""),"% of closed/non-functional schools")</f>
        <v>% of closed/non-functional schools</v>
      </c>
      <c r="G24" s="637"/>
      <c r="H24" s="638">
        <f ca="1">IFERROR(__xludf.DUMMYFUNCTION("""COMPUTED_VALUE"""),0)</f>
        <v>0</v>
      </c>
      <c r="I24" s="637" t="str">
        <f ca="1">IFERROR(__xludf.DUMMYFUNCTION("""COMPUTED_VALUE"""),"KI")</f>
        <v>KI</v>
      </c>
      <c r="J24" s="637"/>
      <c r="K24" s="639" t="str">
        <f ca="1">IFERROR(__xludf.DUMMYFUNCTION("""COMPUTED_VALUE"""),"All schools are open/functional")</f>
        <v>All schools are open/functional</v>
      </c>
      <c r="L24" s="639" t="str">
        <f ca="1">IFERROR(__xludf.DUMMYFUNCTION("""COMPUTED_VALUE"""),"Nr. of closed/non-functional schools &lt; 10%")</f>
        <v>Nr. of closed/non-functional schools &lt; 10%</v>
      </c>
      <c r="M24" s="639" t="str">
        <f ca="1">IFERROR(__xludf.DUMMYFUNCTION("""COMPUTED_VALUE"""),"Nr. of closed/non-functional schools = 11-20%")</f>
        <v>Nr. of closed/non-functional schools = 11-20%</v>
      </c>
      <c r="N24" s="639" t="str">
        <f ca="1">IFERROR(__xludf.DUMMYFUNCTION("""COMPUTED_VALUE"""),"Nr. of closed/non-functional schools = 21-40%")</f>
        <v>Nr. of closed/non-functional schools = 21-40%</v>
      </c>
      <c r="O24" s="639" t="str">
        <f ca="1">IFERROR(__xludf.DUMMYFUNCTION("""COMPUTED_VALUE"""),"Nr. of closed/non-functional schools = 41% or higher")</f>
        <v>Nr. of closed/non-functional schools = 41% or higher</v>
      </c>
      <c r="P24" s="637"/>
      <c r="Q24" s="372"/>
      <c r="R24" s="372"/>
      <c r="S24" s="372"/>
    </row>
    <row r="25" spans="1:19" s="259" customFormat="1" ht="12.5">
      <c r="A25" s="655">
        <f ca="1">IFERROR(__xludf.DUMMYFUNCTION("""COMPUTED_VALUE"""),19)</f>
        <v>19</v>
      </c>
      <c r="B25" s="637" t="str">
        <f ca="1">IFERROR(__xludf.DUMMYFUNCTION("""COMPUTED_VALUE"""),"Education")</f>
        <v>Education</v>
      </c>
      <c r="C25" s="637"/>
      <c r="D25" s="637" t="str">
        <f ca="1">IFERROR(__xludf.DUMMYFUNCTION("""COMPUTED_VALUE"""),"Impact")</f>
        <v>Impact</v>
      </c>
      <c r="E25" s="637" t="str">
        <f ca="1">IFERROR(__xludf.DUMMYFUNCTION("""COMPUTED_VALUE"""),"Impact on Services")</f>
        <v>Impact on Services</v>
      </c>
      <c r="F25" s="637" t="str">
        <f ca="1">IFERROR(__xludf.DUMMYFUNCTION("""COMPUTED_VALUE"""),"% of classrooms destroyed or damaged")</f>
        <v>% of classrooms destroyed or damaged</v>
      </c>
      <c r="G25" s="637"/>
      <c r="H25" s="638">
        <f ca="1">IFERROR(__xludf.DUMMYFUNCTION("""COMPUTED_VALUE"""),0)</f>
        <v>0</v>
      </c>
      <c r="I25" s="637" t="str">
        <f ca="1">IFERROR(__xludf.DUMMYFUNCTION("""COMPUTED_VALUE"""),"KI")</f>
        <v>KI</v>
      </c>
      <c r="J25" s="637"/>
      <c r="K25" s="639" t="str">
        <f ca="1">IFERROR(__xludf.DUMMYFUNCTION("""COMPUTED_VALUE"""),"No classrooms destroyed/damaged")</f>
        <v>No classrooms destroyed/damaged</v>
      </c>
      <c r="L25" s="639" t="str">
        <f ca="1">IFERROR(__xludf.DUMMYFUNCTION("""COMPUTED_VALUE"""),"Nr. of classrooms destroyed/damaged &lt; 5%")</f>
        <v>Nr. of classrooms destroyed/damaged &lt; 5%</v>
      </c>
      <c r="M25" s="639" t="str">
        <f ca="1">IFERROR(__xludf.DUMMYFUNCTION("""COMPUTED_VALUE"""),"Nr. of classrooms destroyed/damaged = 6-10%")</f>
        <v>Nr. of classrooms destroyed/damaged = 6-10%</v>
      </c>
      <c r="N25" s="639" t="str">
        <f ca="1">IFERROR(__xludf.DUMMYFUNCTION("""COMPUTED_VALUE"""),"Nr. of classrooms destroyed/damaged = 11-25%")</f>
        <v>Nr. of classrooms destroyed/damaged = 11-25%</v>
      </c>
      <c r="O25" s="639" t="str">
        <f ca="1">IFERROR(__xludf.DUMMYFUNCTION("""COMPUTED_VALUE"""),"Nr. of classrooms destroyed/damaged = 26% or higher")</f>
        <v>Nr. of classrooms destroyed/damaged = 26% or higher</v>
      </c>
      <c r="P25" s="637"/>
      <c r="Q25" s="372"/>
      <c r="R25" s="372"/>
      <c r="S25" s="372"/>
    </row>
    <row r="26" spans="1:19" s="259" customFormat="1" ht="12.5">
      <c r="A26" s="655">
        <f ca="1">IFERROR(__xludf.DUMMYFUNCTION("""COMPUTED_VALUE"""),20)</f>
        <v>20</v>
      </c>
      <c r="B26" s="637" t="str">
        <f ca="1">IFERROR(__xludf.DUMMYFUNCTION("""COMPUTED_VALUE"""),"Education")</f>
        <v>Education</v>
      </c>
      <c r="C26" s="637"/>
      <c r="D26" s="637" t="str">
        <f ca="1">IFERROR(__xludf.DUMMYFUNCTION("""COMPUTED_VALUE"""),"Impact")</f>
        <v>Impact</v>
      </c>
      <c r="E26" s="637" t="str">
        <f ca="1">IFERROR(__xludf.DUMMYFUNCTION("""COMPUTED_VALUE"""),"Impact on Services")</f>
        <v>Impact on Services</v>
      </c>
      <c r="F26" s="637" t="str">
        <f ca="1">IFERROR(__xludf.DUMMYFUNCTION("""COMPUTED_VALUE"""),"% of schools used as shelter by IDPs")</f>
        <v>% of schools used as shelter by IDPs</v>
      </c>
      <c r="G26" s="637"/>
      <c r="H26" s="638">
        <f ca="1">IFERROR(__xludf.DUMMYFUNCTION("""COMPUTED_VALUE"""),0)</f>
        <v>0</v>
      </c>
      <c r="I26" s="637" t="str">
        <f ca="1">IFERROR(__xludf.DUMMYFUNCTION("""COMPUTED_VALUE"""),"KI")</f>
        <v>KI</v>
      </c>
      <c r="J26" s="637"/>
      <c r="K26" s="639" t="str">
        <f ca="1">IFERROR(__xludf.DUMMYFUNCTION("""COMPUTED_VALUE"""),"No schools used as shelter by IDPs")</f>
        <v>No schools used as shelter by IDPs</v>
      </c>
      <c r="L26" s="639"/>
      <c r="M26" s="639"/>
      <c r="N26" s="639"/>
      <c r="O26" s="639"/>
      <c r="P26" s="637" t="str">
        <f ca="1">IFERROR(__xludf.DUMMYFUNCTION("""COMPUTED_VALUE"""),"Thresholds to be developed by the Education Cluster in country.")</f>
        <v>Thresholds to be developed by the Education Cluster in country.</v>
      </c>
      <c r="Q26" s="372"/>
      <c r="R26" s="372"/>
      <c r="S26" s="372"/>
    </row>
    <row r="27" spans="1:19" s="259" customFormat="1" ht="12.5">
      <c r="A27" s="655">
        <f ca="1">IFERROR(__xludf.DUMMYFUNCTION("""COMPUTED_VALUE"""),21)</f>
        <v>21</v>
      </c>
      <c r="B27" s="637" t="str">
        <f ca="1">IFERROR(__xludf.DUMMYFUNCTION("""COMPUTED_VALUE"""),"Education")</f>
        <v>Education</v>
      </c>
      <c r="C27" s="637"/>
      <c r="D27" s="637" t="str">
        <f ca="1">IFERROR(__xludf.DUMMYFUNCTION("""COMPUTED_VALUE"""),"Impact")</f>
        <v>Impact</v>
      </c>
      <c r="E27" s="637" t="str">
        <f ca="1">IFERROR(__xludf.DUMMYFUNCTION("""COMPUTED_VALUE"""),"Impact on Services")</f>
        <v>Impact on Services</v>
      </c>
      <c r="F27" s="637" t="str">
        <f ca="1">IFERROR(__xludf.DUMMYFUNCTION("""COMPUTED_VALUE"""),"Pupil-Teacher Ratio")</f>
        <v>Pupil-Teacher Ratio</v>
      </c>
      <c r="G27" s="637"/>
      <c r="H27" s="638">
        <f ca="1">IFERROR(__xludf.DUMMYFUNCTION("""COMPUTED_VALUE"""),0)</f>
        <v>0</v>
      </c>
      <c r="I27" s="637" t="str">
        <f ca="1">IFERROR(__xludf.DUMMYFUNCTION("""COMPUTED_VALUE"""),"KI")</f>
        <v>KI</v>
      </c>
      <c r="J27" s="637"/>
      <c r="K27" s="639" t="str">
        <f ca="1">IFERROR(__xludf.DUMMYFUNCTION("""COMPUTED_VALUE"""),"PTR &lt; 40")</f>
        <v>PTR &lt; 40</v>
      </c>
      <c r="L27" s="639" t="str">
        <f ca="1">IFERROR(__xludf.DUMMYFUNCTION("""COMPUTED_VALUE"""),"PTR = 41-50")</f>
        <v>PTR = 41-50</v>
      </c>
      <c r="M27" s="639" t="str">
        <f ca="1">IFERROR(__xludf.DUMMYFUNCTION("""COMPUTED_VALUE"""),"PTR = 51-60")</f>
        <v>PTR = 51-60</v>
      </c>
      <c r="N27" s="639" t="str">
        <f ca="1">IFERROR(__xludf.DUMMYFUNCTION("""COMPUTED_VALUE"""),"PTR = 61-75")</f>
        <v>PTR = 61-75</v>
      </c>
      <c r="O27" s="639" t="str">
        <f ca="1">IFERROR(__xludf.DUMMYFUNCTION("""COMPUTED_VALUE"""),"PTR = 76 or higher")</f>
        <v>PTR = 76 or higher</v>
      </c>
      <c r="P27" s="637"/>
      <c r="Q27" s="372"/>
      <c r="R27" s="372"/>
      <c r="S27" s="372"/>
    </row>
    <row r="28" spans="1:19" s="259" customFormat="1" ht="12.5">
      <c r="A28" s="656"/>
      <c r="B28" s="637" t="str">
        <f ca="1">IFERROR(__xludf.DUMMYFUNCTION("""COMPUTED_VALUE"""),"Education")</f>
        <v>Education</v>
      </c>
      <c r="C28" s="637" t="str">
        <f ca="1">IFERROR(__xludf.DUMMYFUNCTION("""COMPUTED_VALUE"""),"Access and learning environment")</f>
        <v>Access and learning environment</v>
      </c>
      <c r="D28" s="637" t="str">
        <f ca="1">IFERROR(__xludf.DUMMYFUNCTION("""COMPUTED_VALUE"""),"Humanitarian conditions")</f>
        <v>Humanitarian conditions</v>
      </c>
      <c r="E28" s="637" t="str">
        <f ca="1">IFERROR(__xludf.DUMMYFUNCTION("""COMPUTED_VALUE"""),"Living Standards")</f>
        <v>Living Standards</v>
      </c>
      <c r="F28" s="637" t="str">
        <f ca="1">IFERROR(__xludf.DUMMYFUNCTION("""COMPUTED_VALUE"""),"Average time needed by school-enrolled children to access the nearest education facility (pre-primary)")</f>
        <v>Average time needed by school-enrolled children to access the nearest education facility (pre-primary)</v>
      </c>
      <c r="G28" s="637"/>
      <c r="H28" s="637"/>
      <c r="I28" s="637" t="str">
        <f ca="1">IFERROR(__xludf.DUMMYFUNCTION("""COMPUTED_VALUE"""),"HH survey / KI")</f>
        <v>HH survey / KI</v>
      </c>
      <c r="J28" s="637"/>
      <c r="K28" s="637" t="str">
        <f ca="1">IFERROR(__xludf.DUMMYFUNCTION("""COMPUTED_VALUE"""),"Less than 20 minutes")</f>
        <v>Less than 20 minutes</v>
      </c>
      <c r="L28" s="637"/>
      <c r="M28" s="637"/>
      <c r="N28" s="637" t="str">
        <f ca="1">IFERROR(__xludf.DUMMYFUNCTION("""COMPUTED_VALUE"""),"Over 20 minutes")</f>
        <v>Over 20 minutes</v>
      </c>
      <c r="O28" s="637"/>
      <c r="P28" s="637"/>
      <c r="Q28" s="372"/>
      <c r="R28" s="372"/>
      <c r="S28" s="372"/>
    </row>
    <row r="29" spans="1:19" s="259" customFormat="1" ht="12.5">
      <c r="A29" s="656"/>
      <c r="B29" s="637" t="str">
        <f ca="1">IFERROR(__xludf.DUMMYFUNCTION("""COMPUTED_VALUE"""),"Education")</f>
        <v>Education</v>
      </c>
      <c r="C29" s="637" t="str">
        <f ca="1">IFERROR(__xludf.DUMMYFUNCTION("""COMPUTED_VALUE"""),"Access and learning environment")</f>
        <v>Access and learning environment</v>
      </c>
      <c r="D29" s="637" t="str">
        <f ca="1">IFERROR(__xludf.DUMMYFUNCTION("""COMPUTED_VALUE"""),"Humanitarian conditions")</f>
        <v>Humanitarian conditions</v>
      </c>
      <c r="E29" s="637" t="str">
        <f ca="1">IFERROR(__xludf.DUMMYFUNCTION("""COMPUTED_VALUE"""),"Living Standards")</f>
        <v>Living Standards</v>
      </c>
      <c r="F29" s="637" t="str">
        <f ca="1">IFERROR(__xludf.DUMMYFUNCTION("""COMPUTED_VALUE"""),"Average time needed by school-enrolled children to access the nearest education facility (primary)")</f>
        <v>Average time needed by school-enrolled children to access the nearest education facility (primary)</v>
      </c>
      <c r="G29" s="637"/>
      <c r="H29" s="637"/>
      <c r="I29" s="637" t="str">
        <f ca="1">IFERROR(__xludf.DUMMYFUNCTION("""COMPUTED_VALUE"""),"HH survey / KI")</f>
        <v>HH survey / KI</v>
      </c>
      <c r="J29" s="637"/>
      <c r="K29" s="637" t="str">
        <f ca="1">IFERROR(__xludf.DUMMYFUNCTION("""COMPUTED_VALUE"""),"Less than 20 minutes")</f>
        <v>Less than 20 minutes</v>
      </c>
      <c r="L29" s="637"/>
      <c r="M29" s="637" t="str">
        <f ca="1">IFERROR(__xludf.DUMMYFUNCTION("""COMPUTED_VALUE"""),"20-40 minutes")</f>
        <v>20-40 minutes</v>
      </c>
      <c r="N29" s="637" t="str">
        <f ca="1">IFERROR(__xludf.DUMMYFUNCTION("""COMPUTED_VALUE"""),"Over 40 minutes")</f>
        <v>Over 40 minutes</v>
      </c>
      <c r="O29" s="637"/>
      <c r="P29" s="637"/>
      <c r="Q29" s="372"/>
      <c r="R29" s="372"/>
      <c r="S29" s="372"/>
    </row>
    <row r="30" spans="1:19" s="259" customFormat="1" ht="12.5">
      <c r="A30" s="656"/>
      <c r="B30" s="637" t="str">
        <f ca="1">IFERROR(__xludf.DUMMYFUNCTION("""COMPUTED_VALUE"""),"Education")</f>
        <v>Education</v>
      </c>
      <c r="C30" s="637" t="str">
        <f ca="1">IFERROR(__xludf.DUMMYFUNCTION("""COMPUTED_VALUE"""),"Access and learning environment")</f>
        <v>Access and learning environment</v>
      </c>
      <c r="D30" s="637" t="str">
        <f ca="1">IFERROR(__xludf.DUMMYFUNCTION("""COMPUTED_VALUE"""),"Humanitarian conditions")</f>
        <v>Humanitarian conditions</v>
      </c>
      <c r="E30" s="637" t="str">
        <f ca="1">IFERROR(__xludf.DUMMYFUNCTION("""COMPUTED_VALUE"""),"Living Standards")</f>
        <v>Living Standards</v>
      </c>
      <c r="F30" s="637" t="str">
        <f ca="1">IFERROR(__xludf.DUMMYFUNCTION("""COMPUTED_VALUE"""),"Average time needed by school-enrolled children to access the nearest education facility (secondary)")</f>
        <v>Average time needed by school-enrolled children to access the nearest education facility (secondary)</v>
      </c>
      <c r="G30" s="637"/>
      <c r="H30" s="637"/>
      <c r="I30" s="637" t="str">
        <f ca="1">IFERROR(__xludf.DUMMYFUNCTION("""COMPUTED_VALUE"""),"HH survey / KI")</f>
        <v>HH survey / KI</v>
      </c>
      <c r="J30" s="637"/>
      <c r="K30" s="637" t="str">
        <f ca="1">IFERROR(__xludf.DUMMYFUNCTION("""COMPUTED_VALUE"""),"Less than 40 minutes")</f>
        <v>Less than 40 minutes</v>
      </c>
      <c r="L30" s="637"/>
      <c r="M30" s="637" t="str">
        <f ca="1">IFERROR(__xludf.DUMMYFUNCTION("""COMPUTED_VALUE"""),"40-60 minutes")</f>
        <v>40-60 minutes</v>
      </c>
      <c r="N30" s="637" t="str">
        <f ca="1">IFERROR(__xludf.DUMMYFUNCTION("""COMPUTED_VALUE"""),"Over 60 minutes")</f>
        <v>Over 60 minutes</v>
      </c>
      <c r="O30" s="637"/>
      <c r="P30" s="637"/>
      <c r="Q30" s="372"/>
      <c r="R30" s="372"/>
      <c r="S30" s="372"/>
    </row>
    <row r="31" spans="1:19" s="259" customFormat="1" ht="12.5">
      <c r="A31" s="655">
        <f ca="1">IFERROR(__xludf.DUMMYFUNCTION("""COMPUTED_VALUE"""),22)</f>
        <v>22</v>
      </c>
      <c r="B31" s="640" t="str">
        <f ca="1">IFERROR(__xludf.DUMMYFUNCTION("""COMPUTED_VALUE"""),"Food Security")</f>
        <v>Food Security</v>
      </c>
      <c r="C31" s="640" t="str">
        <f ca="1">IFERROR(__xludf.DUMMYFUNCTION("""COMPUTED_VALUE"""),"Food Access")</f>
        <v>Food Access</v>
      </c>
      <c r="D31" s="641" t="str">
        <f ca="1">IFERROR(__xludf.DUMMYFUNCTION("""COMPUTED_VALUE"""),"Humanitarian Conditions")</f>
        <v>Humanitarian Conditions</v>
      </c>
      <c r="E31" s="641" t="str">
        <f ca="1">IFERROR(__xludf.DUMMYFUNCTION("""COMPUTED_VALUE"""),"Coping Mechanisms")</f>
        <v>Coping Mechanisms</v>
      </c>
      <c r="F31" s="641" t="str">
        <f ca="1">IFERROR(__xludf.DUMMYFUNCTION("""COMPUTED_VALUE"""),"Livelihood coping strategy (basic needs)")</f>
        <v>Livelihood coping strategy (basic needs)</v>
      </c>
      <c r="G31" s="642"/>
      <c r="H31" s="643">
        <f ca="1">IFERROR(__xludf.DUMMYFUNCTION("""COMPUTED_VALUE"""),2)</f>
        <v>2</v>
      </c>
      <c r="I31" s="640" t="str">
        <f ca="1">IFERROR(__xludf.DUMMYFUNCTION("""COMPUTED_VALUE"""),"HH survey")</f>
        <v>HH survey</v>
      </c>
      <c r="J31" s="640" t="str">
        <f ca="1">IFERROR(__xludf.DUMMYFUNCTION("""COMPUTED_VALUE"""),"Essential Needs Assessment")</f>
        <v>Essential Needs Assessment</v>
      </c>
      <c r="K31" s="640" t="str">
        <f ca="1">IFERROR(__xludf.DUMMYFUNCTION("""COMPUTED_VALUE"""),"No stress, crisis or emergency coping observed")</f>
        <v>No stress, crisis or emergency coping observed</v>
      </c>
      <c r="L31" s="640" t="str">
        <f ca="1">IFERROR(__xludf.DUMMYFUNCTION("""COMPUTED_VALUE"""),"Stress strategies are the most severe strategies used by the household in the past 30 days")</f>
        <v>Stress strategies are the most severe strategies used by the household in the past 30 days</v>
      </c>
      <c r="M31" s="640" t="str">
        <f ca="1">IFERROR(__xludf.DUMMYFUNCTION("""COMPUTED_VALUE"""),"Crisis strategies are the most severe strategies used by the household in the past 30 days")</f>
        <v>Crisis strategies are the most severe strategies used by the household in the past 30 days</v>
      </c>
      <c r="N31" s="640" t="str">
        <f ca="1">IFERROR(__xludf.DUMMYFUNCTION("""COMPUTED_VALUE"""),"Emergency strategies are the most severe strategies used by the household in the past 30 days")</f>
        <v>Emergency strategies are the most severe strategies used by the household in the past 30 days</v>
      </c>
      <c r="O31" s="640" t="str">
        <f ca="1">IFERROR(__xludf.DUMMYFUNCTION("""COMPUTED_VALUE"""),"Near exhaustion of coping capacity")</f>
        <v>Near exhaustion of coping capacity</v>
      </c>
      <c r="P31" s="640"/>
      <c r="Q31" s="372"/>
      <c r="R31" s="372"/>
      <c r="S31" s="372"/>
    </row>
    <row r="32" spans="1:19" s="259" customFormat="1" ht="12.5">
      <c r="A32" s="655">
        <f ca="1">IFERROR(__xludf.DUMMYFUNCTION("""COMPUTED_VALUE"""),23)</f>
        <v>23</v>
      </c>
      <c r="B32" s="640" t="str">
        <f ca="1">IFERROR(__xludf.DUMMYFUNCTION("""COMPUTED_VALUE"""),"Food Security")</f>
        <v>Food Security</v>
      </c>
      <c r="C32" s="640" t="str">
        <f ca="1">IFERROR(__xludf.DUMMYFUNCTION("""COMPUTED_VALUE"""),"Food Access")</f>
        <v>Food Access</v>
      </c>
      <c r="D32" s="641" t="str">
        <f ca="1">IFERROR(__xludf.DUMMYFUNCTION("""COMPUTED_VALUE"""),"Humanitarian Conditions")</f>
        <v>Humanitarian Conditions</v>
      </c>
      <c r="E32" s="641" t="str">
        <f ca="1">IFERROR(__xludf.DUMMYFUNCTION("""COMPUTED_VALUE"""),"Coping Mechanisms")</f>
        <v>Coping Mechanisms</v>
      </c>
      <c r="F32" s="641" t="str">
        <f ca="1">IFERROR(__xludf.DUMMYFUNCTION("""COMPUTED_VALUE"""),"Livelihood coping strategy (food) - 30 day recall")</f>
        <v>Livelihood coping strategy (food) - 30 day recall</v>
      </c>
      <c r="G32" s="642"/>
      <c r="H32" s="643">
        <f ca="1">IFERROR(__xludf.DUMMYFUNCTION("""COMPUTED_VALUE"""),1)</f>
        <v>1</v>
      </c>
      <c r="I32" s="640" t="str">
        <f ca="1">IFERROR(__xludf.DUMMYFUNCTION("""COMPUTED_VALUE"""),"HH survey")</f>
        <v>HH survey</v>
      </c>
      <c r="J32" s="640" t="str">
        <f ca="1">IFERROR(__xludf.DUMMYFUNCTION("""COMPUTED_VALUE"""),"Food security assessment")</f>
        <v>Food security assessment</v>
      </c>
      <c r="K32" s="640" t="str">
        <f ca="1">IFERROR(__xludf.DUMMYFUNCTION("""COMPUTED_VALUE"""),"No stress, crisis or emergency coping observed")</f>
        <v>No stress, crisis or emergency coping observed</v>
      </c>
      <c r="L32" s="640" t="str">
        <f ca="1">IFERROR(__xludf.DUMMYFUNCTION("""COMPUTED_VALUE"""),"Stress strategies ")</f>
        <v xml:space="preserve">Stress strategies </v>
      </c>
      <c r="M32" s="640" t="str">
        <f ca="1">IFERROR(__xludf.DUMMYFUNCTION("""COMPUTED_VALUE"""),"Crisis strategies ")</f>
        <v xml:space="preserve">Crisis strategies </v>
      </c>
      <c r="N32" s="640" t="str">
        <f ca="1">IFERROR(__xludf.DUMMYFUNCTION("""COMPUTED_VALUE"""),"Emergency strategies")</f>
        <v>Emergency strategies</v>
      </c>
      <c r="O32" s="640" t="str">
        <f ca="1">IFERROR(__xludf.DUMMYFUNCTION("""COMPUTED_VALUE"""),"Near exhaustion of coping capacity")</f>
        <v>Near exhaustion of coping capacity</v>
      </c>
      <c r="P32" s="640" t="str">
        <f ca="1">IFERROR(__xludf.DUMMYFUNCTION("""COMPUTED_VALUE"""),"1.1 Sold household assets/goods (radio, furniture, refrigerator, television, jewelry etc..)
1.2 Reduced non-food expenses on health (including drugs) and education
1.3 Sold productive assets or means of transport (sewing machine, wheelbarrow, bicycle, car"&amp;", etc..)
1.4 Spent savings 
1.5 Borrowed money / food from a formal lender / bank
1.6 Sold house or land
1.7 Withdrew children from school
1.8 Sold last female animals
1.9 Begging
1.10 Sold more animals (non-productive) than usual
")</f>
        <v xml:space="preserve">1.1 Sold household assets/goods (radio, furniture, refrigerator, television, jewelry etc..)
1.2 Reduced non-food expenses on health (including drugs) and education
1.3 Sold productive assets or means of transport (sewing machine, wheelbarrow, bicycle, car, etc..)
1.4 Spent savings 
1.5 Borrowed money / food from a formal lender / bank
1.6 Sold house or land
1.7 Withdrew children from school
1.8 Sold last female animals
1.9 Begging
1.10 Sold more animals (non-productive) than usual
</v>
      </c>
      <c r="Q32" s="372"/>
      <c r="R32" s="372"/>
      <c r="S32" s="372"/>
    </row>
    <row r="33" spans="1:19" s="259" customFormat="1" ht="12.5">
      <c r="A33" s="655">
        <f ca="1">IFERROR(__xludf.DUMMYFUNCTION("""COMPUTED_VALUE"""),24)</f>
        <v>24</v>
      </c>
      <c r="B33" s="640" t="str">
        <f ca="1">IFERROR(__xludf.DUMMYFUNCTION("""COMPUTED_VALUE"""),"Food Security")</f>
        <v>Food Security</v>
      </c>
      <c r="C33" s="640" t="str">
        <f ca="1">IFERROR(__xludf.DUMMYFUNCTION("""COMPUTED_VALUE"""),"Food Access")</f>
        <v>Food Access</v>
      </c>
      <c r="D33" s="641" t="str">
        <f ca="1">IFERROR(__xludf.DUMMYFUNCTION("""COMPUTED_VALUE"""),"Humanitarian Conditions")</f>
        <v>Humanitarian Conditions</v>
      </c>
      <c r="E33" s="641" t="str">
        <f ca="1">IFERROR(__xludf.DUMMYFUNCTION("""COMPUTED_VALUE"""),"Living Standards")</f>
        <v>Living Standards</v>
      </c>
      <c r="F33" s="641" t="str">
        <f ca="1">IFERROR(__xludf.DUMMYFUNCTION("""COMPUTED_VALUE"""),"Food Expenditure share")</f>
        <v>Food Expenditure share</v>
      </c>
      <c r="G33" s="642"/>
      <c r="H33" s="643">
        <f ca="1">IFERROR(__xludf.DUMMYFUNCTION("""COMPUTED_VALUE"""),1)</f>
        <v>1</v>
      </c>
      <c r="I33" s="640" t="str">
        <f ca="1">IFERROR(__xludf.DUMMYFUNCTION("""COMPUTED_VALUE"""),"HH survey")</f>
        <v>HH survey</v>
      </c>
      <c r="J33" s="640" t="str">
        <f ca="1">IFERROR(__xludf.DUMMYFUNCTION("""COMPUTED_VALUE"""),"Food security assessment")</f>
        <v>Food security assessment</v>
      </c>
      <c r="K33" s="640" t="str">
        <f ca="1">IFERROR(__xludf.DUMMYFUNCTION("""COMPUTED_VALUE"""),"&lt;50%")</f>
        <v>&lt;50%</v>
      </c>
      <c r="L33" s="640" t="str">
        <f ca="1">IFERROR(__xludf.DUMMYFUNCTION("""COMPUTED_VALUE"""),"50-65%")</f>
        <v>50-65%</v>
      </c>
      <c r="M33" s="640" t="str">
        <f ca="1">IFERROR(__xludf.DUMMYFUNCTION("""COMPUTED_VALUE"""),"65-75%")</f>
        <v>65-75%</v>
      </c>
      <c r="N33" s="640" t="str">
        <f ca="1">IFERROR(__xludf.DUMMYFUNCTION("""COMPUTED_VALUE"""),"75% - 85%")</f>
        <v>75% - 85%</v>
      </c>
      <c r="O33" s="640" t="str">
        <f ca="1">IFERROR(__xludf.DUMMYFUNCTION("""COMPUTED_VALUE"""),"&gt; 85%")</f>
        <v>&gt; 85%</v>
      </c>
      <c r="P33" s="640"/>
      <c r="Q33" s="372"/>
      <c r="R33" s="372"/>
      <c r="S33" s="372"/>
    </row>
    <row r="34" spans="1:19" s="259" customFormat="1" ht="12.5">
      <c r="A34" s="655">
        <f ca="1">IFERROR(__xludf.DUMMYFUNCTION("""COMPUTED_VALUE"""),25)</f>
        <v>25</v>
      </c>
      <c r="B34" s="640" t="str">
        <f ca="1">IFERROR(__xludf.DUMMYFUNCTION("""COMPUTED_VALUE"""),"Food Security")</f>
        <v>Food Security</v>
      </c>
      <c r="C34" s="640" t="str">
        <f ca="1">IFERROR(__xludf.DUMMYFUNCTION("""COMPUTED_VALUE"""),"Food Access")</f>
        <v>Food Access</v>
      </c>
      <c r="D34" s="641" t="str">
        <f ca="1">IFERROR(__xludf.DUMMYFUNCTION("""COMPUTED_VALUE"""),"Humanitarian Conditions")</f>
        <v>Humanitarian Conditions</v>
      </c>
      <c r="E34" s="641" t="str">
        <f ca="1">IFERROR(__xludf.DUMMYFUNCTION("""COMPUTED_VALUE"""),"Living Standards")</f>
        <v>Living Standards</v>
      </c>
      <c r="F34" s="641" t="str">
        <f ca="1">IFERROR(__xludf.DUMMYFUNCTION("""COMPUTED_VALUE"""),"Household Economy Approach (HEA)")</f>
        <v>Household Economy Approach (HEA)</v>
      </c>
      <c r="G34" s="642"/>
      <c r="H34" s="643">
        <f ca="1">IFERROR(__xludf.DUMMYFUNCTION("""COMPUTED_VALUE"""),2)</f>
        <v>2</v>
      </c>
      <c r="I34" s="640" t="str">
        <f ca="1">IFERROR(__xludf.DUMMYFUNCTION("""COMPUTED_VALUE"""),"HH survey")</f>
        <v>HH survey</v>
      </c>
      <c r="J34" s="640" t="str">
        <f ca="1">IFERROR(__xludf.DUMMYFUNCTION("""COMPUTED_VALUE"""),"HEA survey")</f>
        <v>HEA survey</v>
      </c>
      <c r="K34" s="640" t="str">
        <f ca="1">IFERROR(__xludf.DUMMYFUNCTION("""COMPUTED_VALUE"""),"No livelihood protection deficit")</f>
        <v>No livelihood protection deficit</v>
      </c>
      <c r="L34" s="640" t="str">
        <f ca="1">IFERROR(__xludf.DUMMYFUNCTION("""COMPUTED_VALUE"""),"Small or moderate livelihood protection deficit &lt;80%")</f>
        <v>Small or moderate livelihood protection deficit &lt;80%</v>
      </c>
      <c r="M34" s="640" t="str">
        <f ca="1">IFERROR(__xludf.DUMMYFUNCTION("""COMPUTED_VALUE"""),"Livelihood protection deficit ≥80%, survival deficit &lt;20%")</f>
        <v>Livelihood protection deficit ≥80%, survival deficit &lt;20%</v>
      </c>
      <c r="N34" s="640" t="str">
        <f ca="1">IFERROR(__xludf.DUMMYFUNCTION("""COMPUTED_VALUE"""),"Survival deficit ≥20% but &lt;50%")</f>
        <v>Survival deficit ≥20% but &lt;50%</v>
      </c>
      <c r="O34" s="640" t="str">
        <f ca="1">IFERROR(__xludf.DUMMYFUNCTION("""COMPUTED_VALUE"""),"Survival deficit ≥50%")</f>
        <v>Survival deficit ≥50%</v>
      </c>
      <c r="P34" s="640"/>
      <c r="Q34" s="372"/>
      <c r="R34" s="372"/>
      <c r="S34" s="372"/>
    </row>
    <row r="35" spans="1:19" s="259" customFormat="1" ht="12.5">
      <c r="A35" s="655">
        <f ca="1">IFERROR(__xludf.DUMMYFUNCTION("""COMPUTED_VALUE"""),26)</f>
        <v>26</v>
      </c>
      <c r="B35" s="640" t="str">
        <f ca="1">IFERROR(__xludf.DUMMYFUNCTION("""COMPUTED_VALUE"""),"Food Security")</f>
        <v>Food Security</v>
      </c>
      <c r="C35" s="640" t="str">
        <f ca="1">IFERROR(__xludf.DUMMYFUNCTION("""COMPUTED_VALUE"""),"Food Access")</f>
        <v>Food Access</v>
      </c>
      <c r="D35" s="641" t="str">
        <f ca="1">IFERROR(__xludf.DUMMYFUNCTION("""COMPUTED_VALUE"""),"Humanitarian Conditions")</f>
        <v>Humanitarian Conditions</v>
      </c>
      <c r="E35" s="641" t="str">
        <f ca="1">IFERROR(__xludf.DUMMYFUNCTION("""COMPUTED_VALUE"""),"Physical and Mental Wellbeing")</f>
        <v>Physical and Mental Wellbeing</v>
      </c>
      <c r="F35" s="641" t="str">
        <f ca="1">IFERROR(__xludf.DUMMYFUNCTION("""COMPUTED_VALUE"""),"Household Hunger Scale (HHS)")</f>
        <v>Household Hunger Scale (HHS)</v>
      </c>
      <c r="G35" s="642"/>
      <c r="H35" s="643">
        <f ca="1">IFERROR(__xludf.DUMMYFUNCTION("""COMPUTED_VALUE"""),1)</f>
        <v>1</v>
      </c>
      <c r="I35" s="640" t="str">
        <f ca="1">IFERROR(__xludf.DUMMYFUNCTION("""COMPUTED_VALUE"""),"HH survey")</f>
        <v>HH survey</v>
      </c>
      <c r="J35" s="640" t="str">
        <f ca="1">IFERROR(__xludf.DUMMYFUNCTION("""COMPUTED_VALUE"""),"Food security assessment")</f>
        <v>Food security assessment</v>
      </c>
      <c r="K35" s="640" t="str">
        <f ca="1">IFERROR(__xludf.DUMMYFUNCTION("""COMPUTED_VALUE"""),"0 (none)")</f>
        <v>0 (none)</v>
      </c>
      <c r="L35" s="640" t="str">
        <f ca="1">IFERROR(__xludf.DUMMYFUNCTION("""COMPUTED_VALUE"""),"1 (slight)")</f>
        <v>1 (slight)</v>
      </c>
      <c r="M35" s="640" t="str">
        <f ca="1">IFERROR(__xludf.DUMMYFUNCTION("""COMPUTED_VALUE"""),"2 or 3 (moderate)")</f>
        <v>2 or 3 (moderate)</v>
      </c>
      <c r="N35" s="640" t="str">
        <f ca="1">IFERROR(__xludf.DUMMYFUNCTION("""COMPUTED_VALUE"""),"4 (severe)")</f>
        <v>4 (severe)</v>
      </c>
      <c r="O35" s="640" t="str">
        <f ca="1">IFERROR(__xludf.DUMMYFUNCTION("""COMPUTED_VALUE"""),"5 or 6 (severe)")</f>
        <v>5 or 6 (severe)</v>
      </c>
      <c r="P35" s="640" t="str">
        <f ca="1">IFERROR(__xludf.DUMMYFUNCTION("""COMPUTED_VALUE"""),"Q1        In the past [4 weeks/30 days], was there ever no food to eat of any kind in your house because of lack of resources to get food?
    Q1a      How often did this happen in the past [4 weeks/30 days]?
Q2        In the past [4 weeks/30 days], did y"&amp;"ou or any household member go to sleep at night hungry because there was not enough food?
   Q2a      How often did this happen in the past [4 weeks/30 days]?
Q3        In the past [4 weeks/30 days], did you or any household member go a whole day and nigh"&amp;"t without eating anything at all because there was not enough food?
    Q3a      How often did this happen in the past [4 weeks/30 days]?
")</f>
        <v xml:space="preserve">Q1        In the past [4 weeks/30 days], was there ever no food to eat of any kind in your house because of lack of resources to get food?
    Q1a      How often did this happen in the past [4 weeks/30 days]?
Q2        In the past [4 weeks/30 days], did you or any household member go to sleep at night hungry because there was not enough food?
   Q2a      How often did this happen in the past [4 weeks/30 days]?
Q3        In the past [4 weeks/30 days], did you or any household member go a whole day and night without eating anything at all because there was not enough food?
    Q3a      How often did this happen in the past [4 weeks/30 days]?
</v>
      </c>
      <c r="Q35" s="372"/>
      <c r="R35" s="372"/>
      <c r="S35" s="372"/>
    </row>
    <row r="36" spans="1:19" s="259" customFormat="1" ht="12.5">
      <c r="A36" s="655">
        <f ca="1">IFERROR(__xludf.DUMMYFUNCTION("""COMPUTED_VALUE"""),27)</f>
        <v>27</v>
      </c>
      <c r="B36" s="640" t="str">
        <f ca="1">IFERROR(__xludf.DUMMYFUNCTION("""COMPUTED_VALUE"""),"Food Security")</f>
        <v>Food Security</v>
      </c>
      <c r="C36" s="640" t="str">
        <f ca="1">IFERROR(__xludf.DUMMYFUNCTION("""COMPUTED_VALUE"""),"Food Access")</f>
        <v>Food Access</v>
      </c>
      <c r="D36" s="641" t="str">
        <f ca="1">IFERROR(__xludf.DUMMYFUNCTION("""COMPUTED_VALUE"""),"Humanitarian Conditions")</f>
        <v>Humanitarian Conditions</v>
      </c>
      <c r="E36" s="641" t="str">
        <f ca="1">IFERROR(__xludf.DUMMYFUNCTION("""COMPUTED_VALUE"""),"Physical and Mental Wellbeing")</f>
        <v>Physical and Mental Wellbeing</v>
      </c>
      <c r="F36" s="641" t="str">
        <f ca="1">IFERROR(__xludf.DUMMYFUNCTION("""COMPUTED_VALUE"""),"Reduced Coping Strategies Index")</f>
        <v>Reduced Coping Strategies Index</v>
      </c>
      <c r="G36" s="642"/>
      <c r="H36" s="643">
        <f ca="1">IFERROR(__xludf.DUMMYFUNCTION("""COMPUTED_VALUE"""),1)</f>
        <v>1</v>
      </c>
      <c r="I36" s="640" t="str">
        <f ca="1">IFERROR(__xludf.DUMMYFUNCTION("""COMPUTED_VALUE"""),"HH survey")</f>
        <v>HH survey</v>
      </c>
      <c r="J36" s="640" t="str">
        <f ca="1">IFERROR(__xludf.DUMMYFUNCTION("""COMPUTED_VALUE"""),"Food security assessment")</f>
        <v>Food security assessment</v>
      </c>
      <c r="K36" s="640" t="str">
        <f ca="1">IFERROR(__xludf.DUMMYFUNCTION("""COMPUTED_VALUE"""),"0 to 3")</f>
        <v>0 to 3</v>
      </c>
      <c r="L36" s="640" t="str">
        <f ca="1">IFERROR(__xludf.DUMMYFUNCTION("""COMPUTED_VALUE"""),"4 to 18")</f>
        <v>4 to 18</v>
      </c>
      <c r="M36" s="640" t="str">
        <f ca="1">IFERROR(__xludf.DUMMYFUNCTION("""COMPUTED_VALUE"""),"≥ 19")</f>
        <v>≥ 19</v>
      </c>
      <c r="N36" s="640" t="str">
        <f ca="1">IFERROR(__xludf.DUMMYFUNCTION("""COMPUTED_VALUE"""),"≥ 19")</f>
        <v>≥ 19</v>
      </c>
      <c r="O36" s="640" t="str">
        <f ca="1">IFERROR(__xludf.DUMMYFUNCTION("""COMPUTED_VALUE"""),"≥ 19")</f>
        <v>≥ 19</v>
      </c>
      <c r="P36" s="640" t="str">
        <f ca="1">IFERROR(__xludf.DUMMYFUNCTION("""COMPUTED_VALUE"""),"1. Relied on less preferred, less expensive food
2. Borrowed food or relied on help from friends or relatives
3. Reduced the number of meals eaten per day
4. Reduced portion size of meals at meals time 
5. Restrict consumption by adults in order for y"&amp;"oung-children to eat
")</f>
        <v xml:space="preserve">1. Relied on less preferred, less expensive food
2. Borrowed food or relied on help from friends or relatives
3. Reduced the number of meals eaten per day
4. Reduced portion size of meals at meals time 
5. Restrict consumption by adults in order for young-children to eat
</v>
      </c>
      <c r="Q36" s="372"/>
      <c r="R36" s="372"/>
      <c r="S36" s="372"/>
    </row>
    <row r="37" spans="1:19" s="259" customFormat="1" ht="12.5">
      <c r="A37" s="655">
        <f ca="1">IFERROR(__xludf.DUMMYFUNCTION("""COMPUTED_VALUE"""),28)</f>
        <v>28</v>
      </c>
      <c r="B37" s="640" t="str">
        <f ca="1">IFERROR(__xludf.DUMMYFUNCTION("""COMPUTED_VALUE"""),"Food Security")</f>
        <v>Food Security</v>
      </c>
      <c r="C37" s="640" t="str">
        <f ca="1">IFERROR(__xludf.DUMMYFUNCTION("""COMPUTED_VALUE"""),"Food Availability/Access")</f>
        <v>Food Availability/Access</v>
      </c>
      <c r="D37" s="641" t="str">
        <f ca="1">IFERROR(__xludf.DUMMYFUNCTION("""COMPUTED_VALUE"""),"Humanitarian Conditions")</f>
        <v>Humanitarian Conditions</v>
      </c>
      <c r="E37" s="641" t="str">
        <f ca="1">IFERROR(__xludf.DUMMYFUNCTION("""COMPUTED_VALUE"""),"Living Standards")</f>
        <v>Living Standards</v>
      </c>
      <c r="F37" s="641" t="str">
        <f ca="1">IFERROR(__xludf.DUMMYFUNCTION("""COMPUTED_VALUE"""),"Food Production losses")</f>
        <v>Food Production losses</v>
      </c>
      <c r="G37" s="642"/>
      <c r="H37" s="643">
        <f ca="1">IFERROR(__xludf.DUMMYFUNCTION("""COMPUTED_VALUE"""),1)</f>
        <v>1</v>
      </c>
      <c r="I37" s="640" t="str">
        <f ca="1">IFERROR(__xludf.DUMMYFUNCTION("""COMPUTED_VALUE"""),"HH survey, official estimates, remote sensing")</f>
        <v>HH survey, official estimates, remote sensing</v>
      </c>
      <c r="J37" s="640" t="str">
        <f ca="1">IFERROR(__xludf.DUMMYFUNCTION("""COMPUTED_VALUE"""),"Food security assessment, Agriculture survey (e.g. CFSAM), Ministry of Agriculture, Satellite imagery")</f>
        <v>Food security assessment, Agriculture survey (e.g. CFSAM), Ministry of Agriculture, Satellite imagery</v>
      </c>
      <c r="K37" s="640" t="str">
        <f ca="1">IFERROR(__xludf.DUMMYFUNCTION("""COMPUTED_VALUE"""),"In the average")</f>
        <v>In the average</v>
      </c>
      <c r="L37" s="640" t="str">
        <f ca="1">IFERROR(__xludf.DUMMYFUNCTION("""COMPUTED_VALUE"""),"Small production losses compared to average &lt;75%")</f>
        <v>Small production losses compared to average &lt;75%</v>
      </c>
      <c r="M37" s="640" t="str">
        <f ca="1">IFERROR(__xludf.DUMMYFUNCTION("""COMPUTED_VALUE"""),"Significant production losses compared to average 50-75%")</f>
        <v>Significant production losses compared to average 50-75%</v>
      </c>
      <c r="N37" s="640" t="str">
        <f ca="1">IFERROR(__xludf.DUMMYFUNCTION("""COMPUTED_VALUE"""),"High production losses compared to average 25-50%")</f>
        <v>High production losses compared to average 25-50%</v>
      </c>
      <c r="O37" s="640" t="str">
        <f ca="1">IFERROR(__xludf.DUMMYFUNCTION("""COMPUTED_VALUE"""),"No production or near total crop loss &lt;25%")</f>
        <v>No production or near total crop loss &lt;25%</v>
      </c>
      <c r="P37" s="640" t="str">
        <f ca="1">IFERROR(__xludf.DUMMYFUNCTION("""COMPUTED_VALUE"""),"Considering main staple food in the area, compared to a normal year, using five years average or longer if food production has been affected by exceptional factors over several of the past 5 years. Note that these thresholds are not based on international"&amp;" standards, they need to be adjusted to the context.")</f>
        <v>Considering main staple food in the area, compared to a normal year, using five years average or longer if food production has been affected by exceptional factors over several of the past 5 years. Note that these thresholds are not based on international standards, they need to be adjusted to the context.</v>
      </c>
      <c r="Q37" s="372"/>
      <c r="R37" s="372"/>
      <c r="S37" s="372"/>
    </row>
    <row r="38" spans="1:19" s="259" customFormat="1" ht="12.5">
      <c r="A38" s="655">
        <f ca="1">IFERROR(__xludf.DUMMYFUNCTION("""COMPUTED_VALUE"""),29)</f>
        <v>29</v>
      </c>
      <c r="B38" s="640" t="str">
        <f ca="1">IFERROR(__xludf.DUMMYFUNCTION("""COMPUTED_VALUE"""),"Food Security")</f>
        <v>Food Security</v>
      </c>
      <c r="C38" s="640" t="str">
        <f ca="1">IFERROR(__xludf.DUMMYFUNCTION("""COMPUTED_VALUE"""),"Food Availability/Access")</f>
        <v>Food Availability/Access</v>
      </c>
      <c r="D38" s="641" t="str">
        <f ca="1">IFERROR(__xludf.DUMMYFUNCTION("""COMPUTED_VALUE"""),"Humanitarian Conditions")</f>
        <v>Humanitarian Conditions</v>
      </c>
      <c r="E38" s="641" t="str">
        <f ca="1">IFERROR(__xludf.DUMMYFUNCTION("""COMPUTED_VALUE"""),"Living Standards")</f>
        <v>Living Standards</v>
      </c>
      <c r="F38" s="641" t="str">
        <f ca="1">IFERROR(__xludf.DUMMYFUNCTION("""COMPUTED_VALUE"""),"Productive assets losses")</f>
        <v>Productive assets losses</v>
      </c>
      <c r="G38" s="642"/>
      <c r="H38" s="643">
        <f ca="1">IFERROR(__xludf.DUMMYFUNCTION("""COMPUTED_VALUE"""),1)</f>
        <v>1</v>
      </c>
      <c r="I38" s="640" t="str">
        <f ca="1">IFERROR(__xludf.DUMMYFUNCTION("""COMPUTED_VALUE"""),"HH survey")</f>
        <v>HH survey</v>
      </c>
      <c r="J38" s="640" t="str">
        <f ca="1">IFERROR(__xludf.DUMMYFUNCTION("""COMPUTED_VALUE"""),"Food security, Agriculture, Livelihood assessment")</f>
        <v>Food security, Agriculture, Livelihood assessment</v>
      </c>
      <c r="K38" s="640" t="str">
        <f ca="1">IFERROR(__xludf.DUMMYFUNCTION("""COMPUTED_VALUE"""),"No livelihood asset loss")</f>
        <v>No livelihood asset loss</v>
      </c>
      <c r="L38" s="640" t="str">
        <f ca="1">IFERROR(__xludf.DUMMYFUNCTION("""COMPUTED_VALUE"""),"Moderate loss of livelihood assets")</f>
        <v>Moderate loss of livelihood assets</v>
      </c>
      <c r="M38" s="640" t="str">
        <f ca="1">IFERROR(__xludf.DUMMYFUNCTION("""COMPUTED_VALUE"""),"Significant loss of livelihood assets")</f>
        <v>Significant loss of livelihood assets</v>
      </c>
      <c r="N38" s="640" t="str">
        <f ca="1">IFERROR(__xludf.DUMMYFUNCTION("""COMPUTED_VALUE"""),"Severe loss of livelihood assets")</f>
        <v>Severe loss of livelihood assets</v>
      </c>
      <c r="O38" s="640" t="str">
        <f ca="1">IFERROR(__xludf.DUMMYFUNCTION("""COMPUTED_VALUE"""),"Total loss of all productive assets")</f>
        <v>Total loss of all productive assets</v>
      </c>
      <c r="P38" s="640" t="str">
        <f ca="1">IFERROR(__xludf.DUMMYFUNCTION("""COMPUTED_VALUE"""),"Productive assets depending of agricultural subsectors: farming (land or access to land, seeds, perennial crops, key tools), livestock, fishing (access to sea, fishing gear and vessels)")</f>
        <v>Productive assets depending of agricultural subsectors: farming (land or access to land, seeds, perennial crops, key tools), livestock, fishing (access to sea, fishing gear and vessels)</v>
      </c>
      <c r="Q38" s="372"/>
      <c r="R38" s="372"/>
      <c r="S38" s="372"/>
    </row>
    <row r="39" spans="1:19" s="259" customFormat="1" ht="12.5">
      <c r="A39" s="655">
        <f ca="1">IFERROR(__xludf.DUMMYFUNCTION("""COMPUTED_VALUE"""),30)</f>
        <v>30</v>
      </c>
      <c r="B39" s="640" t="str">
        <f ca="1">IFERROR(__xludf.DUMMYFUNCTION("""COMPUTED_VALUE"""),"Food Security")</f>
        <v>Food Security</v>
      </c>
      <c r="C39" s="640" t="str">
        <f ca="1">IFERROR(__xludf.DUMMYFUNCTION("""COMPUTED_VALUE"""),"Food Availability/Access/Utilization")</f>
        <v>Food Availability/Access/Utilization</v>
      </c>
      <c r="D39" s="641" t="str">
        <f ca="1">IFERROR(__xludf.DUMMYFUNCTION("""COMPUTED_VALUE"""),"Humanitarian Conditions")</f>
        <v>Humanitarian Conditions</v>
      </c>
      <c r="E39" s="641" t="str">
        <f ca="1">IFERROR(__xludf.DUMMYFUNCTION("""COMPUTED_VALUE"""),"Physical and Mental Wellbeing")</f>
        <v>Physical and Mental Wellbeing</v>
      </c>
      <c r="F39" s="641" t="str">
        <f ca="1">IFERROR(__xludf.DUMMYFUNCTION("""COMPUTED_VALUE"""),"Food Consumption Score")</f>
        <v>Food Consumption Score</v>
      </c>
      <c r="G39" s="642"/>
      <c r="H39" s="643">
        <f ca="1">IFERROR(__xludf.DUMMYFUNCTION("""COMPUTED_VALUE"""),1)</f>
        <v>1</v>
      </c>
      <c r="I39" s="640" t="str">
        <f ca="1">IFERROR(__xludf.DUMMYFUNCTION("""COMPUTED_VALUE"""),"HH survey")</f>
        <v>HH survey</v>
      </c>
      <c r="J39" s="640" t="str">
        <f ca="1">IFERROR(__xludf.DUMMYFUNCTION("""COMPUTED_VALUE"""),"Food security assessment")</f>
        <v>Food security assessment</v>
      </c>
      <c r="K39" s="640" t="str">
        <f ca="1">IFERROR(__xludf.DUMMYFUNCTION("""COMPUTED_VALUE"""),"Acceptable and stable")</f>
        <v>Acceptable and stable</v>
      </c>
      <c r="L39" s="640" t="str">
        <f ca="1">IFERROR(__xludf.DUMMYFUNCTION("""COMPUTED_VALUE"""),"Acceptable but deterioration from typical")</f>
        <v>Acceptable but deterioration from typical</v>
      </c>
      <c r="M39" s="640" t="str">
        <f ca="1">IFERROR(__xludf.DUMMYFUNCTION("""COMPUTED_VALUE"""),"Borderline")</f>
        <v>Borderline</v>
      </c>
      <c r="N39" s="640" t="str">
        <f ca="1">IFERROR(__xludf.DUMMYFUNCTION("""COMPUTED_VALUE"""),"Poor")</f>
        <v>Poor</v>
      </c>
      <c r="O39" s="640" t="str">
        <f ca="1">IFERROR(__xludf.DUMMYFUNCTION("""COMPUTED_VALUE"""),"Poor")</f>
        <v>Poor</v>
      </c>
      <c r="P39" s="640" t="str">
        <f ca="1">IFERROR(__xludf.DUMMYFUNCTION("""COMPUTED_VALUE"""),"Food items/groups:
Cereals or tubers
Pulses and groundnuts
Milk and milk products
Eggs, meat, fish, shells
Vegetables
Fruits
Sugar
Oil
Condiments
")</f>
        <v xml:space="preserve">Food items/groups:
Cereals or tubers
Pulses and groundnuts
Milk and milk products
Eggs, meat, fish, shells
Vegetables
Fruits
Sugar
Oil
Condiments
</v>
      </c>
      <c r="Q39" s="372"/>
      <c r="R39" s="372"/>
      <c r="S39" s="372"/>
    </row>
    <row r="40" spans="1:19" s="259" customFormat="1" ht="12.5">
      <c r="A40" s="655">
        <f ca="1">IFERROR(__xludf.DUMMYFUNCTION("""COMPUTED_VALUE"""),31)</f>
        <v>31</v>
      </c>
      <c r="B40" s="640" t="str">
        <f ca="1">IFERROR(__xludf.DUMMYFUNCTION("""COMPUTED_VALUE"""),"Food Security")</f>
        <v>Food Security</v>
      </c>
      <c r="C40" s="640" t="str">
        <f ca="1">IFERROR(__xludf.DUMMYFUNCTION("""COMPUTED_VALUE"""),"Food Availability/Access/Utilization")</f>
        <v>Food Availability/Access/Utilization</v>
      </c>
      <c r="D40" s="641" t="str">
        <f ca="1">IFERROR(__xludf.DUMMYFUNCTION("""COMPUTED_VALUE"""),"Humanitarian Conditions")</f>
        <v>Humanitarian Conditions</v>
      </c>
      <c r="E40" s="641" t="str">
        <f ca="1">IFERROR(__xludf.DUMMYFUNCTION("""COMPUTED_VALUE"""),"Physical and Mental Wellbeing")</f>
        <v>Physical and Mental Wellbeing</v>
      </c>
      <c r="F40" s="641" t="str">
        <f ca="1">IFERROR(__xludf.DUMMYFUNCTION("""COMPUTED_VALUE"""),"IPC/CH - for all IPC/CH countries with updated analysis - if up-to-date IPC analysis results are not available, other FS indicators can be used for FS sector")</f>
        <v>IPC/CH - for all IPC/CH countries with updated analysis - if up-to-date IPC analysis results are not available, other FS indicators can be used for FS sector</v>
      </c>
      <c r="G40" s="642"/>
      <c r="H40" s="643">
        <f ca="1">IFERROR(__xludf.DUMMYFUNCTION("""COMPUTED_VALUE"""),1)</f>
        <v>1</v>
      </c>
      <c r="I40" s="640" t="str">
        <f ca="1">IFERROR(__xludf.DUMMYFUNCTION("""COMPUTED_VALUE"""),"IPC analysis")</f>
        <v>IPC analysis</v>
      </c>
      <c r="J40" s="640" t="str">
        <f ca="1">IFERROR(__xludf.DUMMYFUNCTION("""COMPUTED_VALUE"""),"IPC analysis")</f>
        <v>IPC analysis</v>
      </c>
      <c r="K40" s="642"/>
      <c r="L40" s="642"/>
      <c r="M40" s="642"/>
      <c r="N40" s="642"/>
      <c r="O40" s="640"/>
      <c r="P40" s="640"/>
      <c r="Q40" s="372"/>
      <c r="R40" s="372"/>
      <c r="S40" s="372"/>
    </row>
    <row r="41" spans="1:19" s="259" customFormat="1" ht="12.5">
      <c r="A41" s="655">
        <f ca="1">IFERROR(__xludf.DUMMYFUNCTION("""COMPUTED_VALUE"""),32)</f>
        <v>32</v>
      </c>
      <c r="B41" s="640" t="str">
        <f ca="1">IFERROR(__xludf.DUMMYFUNCTION("""COMPUTED_VALUE"""),"Food Security")</f>
        <v>Food Security</v>
      </c>
      <c r="C41" s="640" t="str">
        <f ca="1">IFERROR(__xludf.DUMMYFUNCTION("""COMPUTED_VALUE"""),"Food Utilization")</f>
        <v>Food Utilization</v>
      </c>
      <c r="D41" s="641" t="str">
        <f ca="1">IFERROR(__xludf.DUMMYFUNCTION("""COMPUTED_VALUE"""),"Humanitarian Conditions")</f>
        <v>Humanitarian Conditions</v>
      </c>
      <c r="E41" s="641" t="str">
        <f ca="1">IFERROR(__xludf.DUMMYFUNCTION("""COMPUTED_VALUE"""),"Physical and Mental Wellbeing")</f>
        <v>Physical and Mental Wellbeing</v>
      </c>
      <c r="F41" s="641" t="str">
        <f ca="1">IFERROR(__xludf.DUMMYFUNCTION("""COMPUTED_VALUE"""),"Household Dietary Diversity Score")</f>
        <v>Household Dietary Diversity Score</v>
      </c>
      <c r="G41" s="642"/>
      <c r="H41" s="643">
        <f ca="1">IFERROR(__xludf.DUMMYFUNCTION("""COMPUTED_VALUE"""),2)</f>
        <v>2</v>
      </c>
      <c r="I41" s="640" t="str">
        <f ca="1">IFERROR(__xludf.DUMMYFUNCTION("""COMPUTED_VALUE"""),"HH survey")</f>
        <v>HH survey</v>
      </c>
      <c r="J41" s="640" t="str">
        <f ca="1">IFERROR(__xludf.DUMMYFUNCTION("""COMPUTED_VALUE"""),"Food security assessment")</f>
        <v>Food security assessment</v>
      </c>
      <c r="K41" s="640" t="str">
        <f ca="1">IFERROR(__xludf.DUMMYFUNCTION("""COMPUTED_VALUE"""),"5-12 food groups and stable")</f>
        <v>5-12 food groups and stable</v>
      </c>
      <c r="L41" s="640" t="str">
        <f ca="1">IFERROR(__xludf.DUMMYFUNCTION("""COMPUTED_VALUE"""),"5-FG but deterioration ≥1 FG from typical")</f>
        <v>5-FG but deterioration ≥1 FG from typical</v>
      </c>
      <c r="M41" s="640" t="str">
        <f ca="1">IFERROR(__xludf.DUMMYFUNCTION("""COMPUTED_VALUE"""),"3-4 FG")</f>
        <v>3-4 FG</v>
      </c>
      <c r="N41" s="640" t="str">
        <f ca="1">IFERROR(__xludf.DUMMYFUNCTION("""COMPUTED_VALUE"""),"0-2 FG")</f>
        <v>0-2 FG</v>
      </c>
      <c r="O41" s="640" t="str">
        <f ca="1">IFERROR(__xludf.DUMMYFUNCTION("""COMPUTED_VALUE"""),"0-2 FG")</f>
        <v>0-2 FG</v>
      </c>
      <c r="P41" s="640"/>
      <c r="Q41" s="372"/>
      <c r="R41" s="372"/>
      <c r="S41" s="372"/>
    </row>
    <row r="42" spans="1:19" s="259" customFormat="1" ht="12.5">
      <c r="A42" s="655">
        <f ca="1">IFERROR(__xludf.DUMMYFUNCTION("""COMPUTED_VALUE"""),33)</f>
        <v>33</v>
      </c>
      <c r="B42" s="634" t="str">
        <f ca="1">IFERROR(__xludf.DUMMYFUNCTION("""COMPUTED_VALUE"""),"Health")</f>
        <v>Health</v>
      </c>
      <c r="C42" s="634" t="str">
        <f ca="1">IFERROR(__xludf.DUMMYFUNCTION("""COMPUTED_VALUE"""),"Child Health")</f>
        <v>Child Health</v>
      </c>
      <c r="D42" s="635" t="str">
        <f ca="1">IFERROR(__xludf.DUMMYFUNCTION("""COMPUTED_VALUE"""),"Humanitarian conditions")</f>
        <v>Humanitarian conditions</v>
      </c>
      <c r="E42" s="635" t="str">
        <f ca="1">IFERROR(__xludf.DUMMYFUNCTION("""COMPUTED_VALUE"""),"Physical and Mental Wellbeing")</f>
        <v>Physical and Mental Wellbeing</v>
      </c>
      <c r="F42" s="635" t="str">
        <f ca="1">IFERROR(__xludf.DUMMYFUNCTION("""COMPUTED_VALUE"""),"Coverage of DTC3 (DPT3 / PENTA3) in &lt; 1 year old, by administrative unit")</f>
        <v>Coverage of DTC3 (DPT3 / PENTA3) in &lt; 1 year old, by administrative unit</v>
      </c>
      <c r="G42" s="634"/>
      <c r="H42" s="636">
        <f ca="1">IFERROR(__xludf.DUMMYFUNCTION("""COMPUTED_VALUE"""),1)</f>
        <v>1</v>
      </c>
      <c r="I42" s="634"/>
      <c r="J42" s="634" t="str">
        <f ca="1">IFERROR(__xludf.DUMMYFUNCTION("""COMPUTED_VALUE"""),"HMIS/HIS, Survey")</f>
        <v>HMIS/HIS, Survey</v>
      </c>
      <c r="K42" s="635" t="str">
        <f ca="1">IFERROR(__xludf.DUMMYFUNCTION("""COMPUTED_VALUE"""),"&gt;= 95%")</f>
        <v>&gt;= 95%</v>
      </c>
      <c r="L42" s="635" t="str">
        <f ca="1">IFERROR(__xludf.DUMMYFUNCTION("""COMPUTED_VALUE"""),"90% &lt; 95%")</f>
        <v>90% &lt; 95%</v>
      </c>
      <c r="M42" s="635" t="str">
        <f ca="1">IFERROR(__xludf.DUMMYFUNCTION("""COMPUTED_VALUE"""),"85% &lt; 89%")</f>
        <v>85% &lt; 89%</v>
      </c>
      <c r="N42" s="635" t="str">
        <f ca="1">IFERROR(__xludf.DUMMYFUNCTION("""COMPUTED_VALUE"""),"80% &lt; 84%")</f>
        <v>80% &lt; 84%</v>
      </c>
      <c r="O42" s="635" t="str">
        <f ca="1">IFERROR(__xludf.DUMMYFUNCTION("""COMPUTED_VALUE"""),"&lt; = 80%")</f>
        <v>&lt; = 80%</v>
      </c>
      <c r="P42" s="634" t="str">
        <f ca="1">IFERROR(__xludf.DUMMYFUNCTION("""COMPUTED_VALUE"""),"This data may be available through projections, but if so, the quality of the data should be checked and noted.
In some surveys data is collected from children aged 12-23 months.  Please be sure to reference the age range that is the focus of the data.  O"&amp;"nly the first threshold has been tested and has evidence behind it.  The others have been arbitrarily selected and should not be considered accurate measures at this stage")</f>
        <v>This data may be available through projections, but if so, the quality of the data should be checked and noted.
In some surveys data is collected from children aged 12-23 months.  Please be sure to reference the age range that is the focus of the data.  Only the first threshold has been tested and has evidence behind it.  The others have been arbitrarily selected and should not be considered accurate measures at this stage</v>
      </c>
      <c r="Q42" s="372"/>
      <c r="R42" s="372"/>
      <c r="S42" s="372"/>
    </row>
    <row r="43" spans="1:19" s="259" customFormat="1" ht="12.5">
      <c r="A43" s="655">
        <f ca="1">IFERROR(__xludf.DUMMYFUNCTION("""COMPUTED_VALUE"""),34)</f>
        <v>34</v>
      </c>
      <c r="B43" s="634" t="str">
        <f ca="1">IFERROR(__xludf.DUMMYFUNCTION("""COMPUTED_VALUE"""),"Health")</f>
        <v>Health</v>
      </c>
      <c r="C43" s="634" t="str">
        <f ca="1">IFERROR(__xludf.DUMMYFUNCTION("""COMPUTED_VALUE"""),"Communicable and Non Communicable Diseases")</f>
        <v>Communicable and Non Communicable Diseases</v>
      </c>
      <c r="D43" s="635" t="str">
        <f ca="1">IFERROR(__xludf.DUMMYFUNCTION("""COMPUTED_VALUE"""),"Humanitarian conditions")</f>
        <v>Humanitarian conditions</v>
      </c>
      <c r="E43" s="635" t="str">
        <f ca="1">IFERROR(__xludf.DUMMYFUNCTION("""COMPUTED_VALUE"""),"Physical and Mental Wellbeing")</f>
        <v>Physical and Mental Wellbeing</v>
      </c>
      <c r="F43" s="635" t="str">
        <f ca="1">IFERROR(__xludf.DUMMYFUNCTION("""COMPUTED_VALUE"""),"Case Fatality Ratio (CFR) for most common diseases")</f>
        <v>Case Fatality Ratio (CFR) for most common diseases</v>
      </c>
      <c r="G43" s="634"/>
      <c r="H43" s="636">
        <f ca="1">IFERROR(__xludf.DUMMYFUNCTION("""COMPUTED_VALUE"""),1)</f>
        <v>1</v>
      </c>
      <c r="I43" s="634"/>
      <c r="J43" s="634" t="str">
        <f ca="1">IFERROR(__xludf.DUMMYFUNCTION("""COMPUTED_VALUE"""),"Prospective HF based surveillance")</f>
        <v>Prospective HF based surveillance</v>
      </c>
      <c r="K43" s="635"/>
      <c r="L43" s="635"/>
      <c r="M43" s="635"/>
      <c r="N43" s="635"/>
      <c r="O43" s="635"/>
      <c r="P43" s="634" t="str">
        <f ca="1">IFERROR(__xludf.DUMMYFUNCTION("""COMPUTED_VALUE"""),"Mixture of disease severity and of quality of health care. Most likely will be biased upwards because only more severe cases normally go to clinic. This indicator is primarily a country-level measurement and cannot be easily aggregated for use at higher l"&amp;"evels.
The list of diseases is context specific.
Data collection can be problematic as health facility surveillance may have low sensitivity for conditions that do not commonly go to clinic. Access to health services is another factor")</f>
        <v>Mixture of disease severity and of quality of health care. Most likely will be biased upwards because only more severe cases normally go to clinic. This indicator is primarily a country-level measurement and cannot be easily aggregated for use at higher levels.
The list of diseases is context specific.
Data collection can be problematic as health facility surveillance may have low sensitivity for conditions that do not commonly go to clinic. Access to health services is another factor</v>
      </c>
      <c r="Q43" s="372"/>
      <c r="R43" s="372"/>
      <c r="S43" s="372"/>
    </row>
    <row r="44" spans="1:19" s="259" customFormat="1" ht="12.5">
      <c r="A44" s="655">
        <f ca="1">IFERROR(__xludf.DUMMYFUNCTION("""COMPUTED_VALUE"""),35)</f>
        <v>35</v>
      </c>
      <c r="B44" s="634" t="str">
        <f ca="1">IFERROR(__xludf.DUMMYFUNCTION("""COMPUTED_VALUE"""),"Health")</f>
        <v>Health</v>
      </c>
      <c r="C44" s="634" t="str">
        <f ca="1">IFERROR(__xludf.DUMMYFUNCTION("""COMPUTED_VALUE"""),"Communicable and Non Communicable Diseases")</f>
        <v>Communicable and Non Communicable Diseases</v>
      </c>
      <c r="D44" s="635" t="str">
        <f ca="1">IFERROR(__xludf.DUMMYFUNCTION("""COMPUTED_VALUE"""),"Humanitarian conditions")</f>
        <v>Humanitarian conditions</v>
      </c>
      <c r="E44" s="635" t="str">
        <f ca="1">IFERROR(__xludf.DUMMYFUNCTION("""COMPUTED_VALUE"""),"Physical and Mental Wellbeing")</f>
        <v>Physical and Mental Wellbeing</v>
      </c>
      <c r="F44" s="635" t="str">
        <f ca="1">IFERROR(__xludf.DUMMYFUNCTION("""COMPUTED_VALUE"""),"Number of cases or incidence rates for selected diseases relevant to the local context (cholera, measles, acute meningitis, others)")</f>
        <v>Number of cases or incidence rates for selected diseases relevant to the local context (cholera, measles, acute meningitis, others)</v>
      </c>
      <c r="G44" s="634"/>
      <c r="H44" s="636">
        <f ca="1">IFERROR(__xludf.DUMMYFUNCTION("""COMPUTED_VALUE"""),1)</f>
        <v>1</v>
      </c>
      <c r="I44" s="634"/>
      <c r="J44" s="634" t="str">
        <f ca="1">IFERROR(__xludf.DUMMYFUNCTION("""COMPUTED_VALUE"""),"EWARS, IRA, RHA prospective HF based surveillance")</f>
        <v>EWARS, IRA, RHA prospective HF based surveillance</v>
      </c>
      <c r="K44" s="635"/>
      <c r="L44" s="635"/>
      <c r="M44" s="635"/>
      <c r="N44" s="635"/>
      <c r="O44" s="635"/>
      <c r="P44" s="634" t="str">
        <f ca="1">IFERROR(__xludf.DUMMYFUNCTION("""COMPUTED_VALUE"""),"This indicator is primarily a country-level measurement and cannot be easily aggregated for use at higher levels.
The list of diseases is context specific.
Data collection can be problematic as health facility surveillance may have low sensitivity for con"&amp;"ditions that do not commonly go to clinic. Access to health services is another factor")</f>
        <v>This indicator is primarily a country-level measurement and cannot be easily aggregated for use at higher levels.
The list of diseases is context specific.
Data collection can be problematic as health facility surveillance may have low sensitivity for conditions that do not commonly go to clinic. Access to health services is another factor</v>
      </c>
      <c r="Q44" s="372"/>
      <c r="R44" s="372"/>
      <c r="S44" s="372"/>
    </row>
    <row r="45" spans="1:19" s="259" customFormat="1" ht="12.5">
      <c r="A45" s="655">
        <f ca="1">IFERROR(__xludf.DUMMYFUNCTION("""COMPUTED_VALUE"""),36)</f>
        <v>36</v>
      </c>
      <c r="B45" s="634" t="str">
        <f ca="1">IFERROR(__xludf.DUMMYFUNCTION("""COMPUTED_VALUE"""),"Health")</f>
        <v>Health</v>
      </c>
      <c r="C45" s="634" t="str">
        <f ca="1">IFERROR(__xludf.DUMMYFUNCTION("""COMPUTED_VALUE"""),"Communicable and Non Communicable Diseases")</f>
        <v>Communicable and Non Communicable Diseases</v>
      </c>
      <c r="D45" s="635" t="str">
        <f ca="1">IFERROR(__xludf.DUMMYFUNCTION("""COMPUTED_VALUE"""),"Humanitarian conditions")</f>
        <v>Humanitarian conditions</v>
      </c>
      <c r="E45" s="635" t="str">
        <f ca="1">IFERROR(__xludf.DUMMYFUNCTION("""COMPUTED_VALUE"""),"Physical and Mental Wellbeing")</f>
        <v>Physical and Mental Wellbeing</v>
      </c>
      <c r="F45" s="635" t="str">
        <f ca="1">IFERROR(__xludf.DUMMYFUNCTION("""COMPUTED_VALUE"""),"Percentage of children aged six months to 15 years who have received measles vaccination")</f>
        <v>Percentage of children aged six months to 15 years who have received measles vaccination</v>
      </c>
      <c r="G45" s="634"/>
      <c r="H45" s="636">
        <f ca="1">IFERROR(__xludf.DUMMYFUNCTION("""COMPUTED_VALUE"""),2)</f>
        <v>2</v>
      </c>
      <c r="I45" s="634"/>
      <c r="J45" s="634" t="str">
        <f ca="1">IFERROR(__xludf.DUMMYFUNCTION("""COMPUTED_VALUE"""),"VCE, HMIS")</f>
        <v>VCE, HMIS</v>
      </c>
      <c r="K45" s="635" t="str">
        <f ca="1">IFERROR(__xludf.DUMMYFUNCTION("""COMPUTED_VALUE"""),"&gt;95% in camps /urban areas
&gt;90% in scattered or rural areas")</f>
        <v>&gt;95% in camps /urban areas
&gt;90% in scattered or rural areas</v>
      </c>
      <c r="L45" s="635" t="str">
        <f ca="1">IFERROR(__xludf.DUMMYFUNCTION("""COMPUTED_VALUE"""),"&gt;95% in camps /urban areas
&gt;90% in scattered or rural areas")</f>
        <v>&gt;95% in camps /urban areas
&gt;90% in scattered or rural areas</v>
      </c>
      <c r="M45" s="635" t="str">
        <f ca="1">IFERROR(__xludf.DUMMYFUNCTION("""COMPUTED_VALUE"""),"90% &gt;= 95% urban and camps
85% &gt;= 90% in scattered or rural areas")</f>
        <v>90% &gt;= 95% urban and camps
85% &gt;= 90% in scattered or rural areas</v>
      </c>
      <c r="N45" s="635" t="str">
        <f ca="1">IFERROR(__xludf.DUMMYFUNCTION("""COMPUTED_VALUE"""),"85% &gt;= 89% urban and camps
80% &gt;= 84% in scattered or rural areas")</f>
        <v>85% &gt;= 89% urban and camps
80% &gt;= 84% in scattered or rural areas</v>
      </c>
      <c r="O45" s="635" t="str">
        <f ca="1">IFERROR(__xludf.DUMMYFUNCTION("""COMPUTED_VALUE"""),"&lt; 85% urban and camps
&lt; 80% in scattered or rural areas")</f>
        <v>&lt; 85% urban and camps
&lt; 80% in scattered or rural areas</v>
      </c>
      <c r="P45" s="634" t="str">
        <f ca="1">IFERROR(__xludf.DUMMYFUNCTION("""COMPUTED_VALUE"""),"This indicator is used to estimate vaccine coverage of the total EPI strategy. To avoid overestimation, measles vaccination coverage is used as proxy since it is usually lower than DPT3 coverage. Both indicators should be calculated on a yearly basis and "&amp;"can provide good indication of health system performance.
It is necessary to assess the quality of the available data.   Only the first threshold has been tested and has evidence behind it.  The others have been arbitrarily selected and should not be cons"&amp;"idered accurate measures at this stage")</f>
        <v>This indicator is used to estimate vaccine coverage of the total EPI strategy. To avoid overestimation, measles vaccination coverage is used as proxy since it is usually lower than DPT3 coverage. Both indicators should be calculated on a yearly basis and can provide good indication of health system performance.
It is necessary to assess the quality of the available data.   Only the first threshold has been tested and has evidence behind it.  The others have been arbitrarily selected and should not be considered accurate measures at this stage</v>
      </c>
      <c r="Q45" s="372"/>
      <c r="R45" s="372"/>
      <c r="S45" s="372"/>
    </row>
    <row r="46" spans="1:19" s="259" customFormat="1" ht="12.5">
      <c r="A46" s="655">
        <f ca="1">IFERROR(__xludf.DUMMYFUNCTION("""COMPUTED_VALUE"""),37)</f>
        <v>37</v>
      </c>
      <c r="B46" s="634" t="str">
        <f ca="1">IFERROR(__xludf.DUMMYFUNCTION("""COMPUTED_VALUE"""),"Health")</f>
        <v>Health</v>
      </c>
      <c r="C46" s="634" t="str">
        <f ca="1">IFERROR(__xludf.DUMMYFUNCTION("""COMPUTED_VALUE"""),"Gender Based Violence")</f>
        <v>Gender Based Violence</v>
      </c>
      <c r="D46" s="635" t="str">
        <f ca="1">IFERROR(__xludf.DUMMYFUNCTION("""COMPUTED_VALUE"""),"Impact")</f>
        <v>Impact</v>
      </c>
      <c r="E46" s="635" t="str">
        <f ca="1">IFERROR(__xludf.DUMMYFUNCTION("""COMPUTED_VALUE"""),"Impact on Services")</f>
        <v>Impact on Services</v>
      </c>
      <c r="F46" s="635" t="str">
        <f ca="1">IFERROR(__xludf.DUMMYFUNCTION("""COMPUTED_VALUE"""),"% of health facilities providing Emergency contraception, Post exposure Prophilaxis and Sexual Transmitted Infection treatment (disaggregate by which of the three services are being provided)")</f>
        <v>% of health facilities providing Emergency contraception, Post exposure Prophilaxis and Sexual Transmitted Infection treatment (disaggregate by which of the three services are being provided)</v>
      </c>
      <c r="G46" s="634"/>
      <c r="H46" s="636">
        <f ca="1">IFERROR(__xludf.DUMMYFUNCTION("""COMPUTED_VALUE"""),0)</f>
        <v>0</v>
      </c>
      <c r="I46" s="634"/>
      <c r="J46" s="634" t="str">
        <f ca="1">IFERROR(__xludf.DUMMYFUNCTION("""COMPUTED_VALUE"""),"HeRAMS or similar service")</f>
        <v>HeRAMS or similar service</v>
      </c>
      <c r="K46" s="635" t="str">
        <f ca="1">IFERROR(__xludf.DUMMYFUNCTION("""COMPUTED_VALUE"""),"90%+")</f>
        <v>90%+</v>
      </c>
      <c r="L46" s="635" t="str">
        <f ca="1">IFERROR(__xludf.DUMMYFUNCTION("""COMPUTED_VALUE"""),"90%+")</f>
        <v>90%+</v>
      </c>
      <c r="M46" s="635" t="str">
        <f ca="1">IFERROR(__xludf.DUMMYFUNCTION("""COMPUTED_VALUE"""),"80% &gt;=  89%")</f>
        <v>80% &gt;=  89%</v>
      </c>
      <c r="N46" s="635" t="str">
        <f ca="1">IFERROR(__xludf.DUMMYFUNCTION("""COMPUTED_VALUE"""),"70 &gt;= 79%")</f>
        <v>70 &gt;= 79%</v>
      </c>
      <c r="O46" s="635" t="str">
        <f ca="1">IFERROR(__xludf.DUMMYFUNCTION("""COMPUTED_VALUE"""),"&lt; 70%")</f>
        <v>&lt; 70%</v>
      </c>
      <c r="P46" s="634" t="str">
        <f ca="1">IFERROR(__xludf.DUMMYFUNCTION("""COMPUTED_VALUE"""),"Comprehensive post-rape care -for this indicator- is defined as offering EC, PEP and STI treatment.  Only the first threshold has been tested and has evidence behind it.  The others have been arbitrarily selected and should not be considered accurate meas"&amp;"ures at this stage")</f>
        <v>Comprehensive post-rape care -for this indicator- is defined as offering EC, PEP and STI treatment.  Only the first threshold has been tested and has evidence behind it.  The others have been arbitrarily selected and should not be considered accurate measures at this stage</v>
      </c>
      <c r="Q46" s="372"/>
      <c r="R46" s="372"/>
      <c r="S46" s="372"/>
    </row>
    <row r="47" spans="1:19" s="259" customFormat="1" ht="12.5">
      <c r="A47" s="655">
        <f ca="1">IFERROR(__xludf.DUMMYFUNCTION("""COMPUTED_VALUE"""),38)</f>
        <v>38</v>
      </c>
      <c r="B47" s="634" t="str">
        <f ca="1">IFERROR(__xludf.DUMMYFUNCTION("""COMPUTED_VALUE"""),"Health")</f>
        <v>Health</v>
      </c>
      <c r="C47" s="634" t="str">
        <f ca="1">IFERROR(__xludf.DUMMYFUNCTION("""COMPUTED_VALUE"""),"General Clinical Services")</f>
        <v>General Clinical Services</v>
      </c>
      <c r="D47" s="635" t="str">
        <f ca="1">IFERROR(__xludf.DUMMYFUNCTION("""COMPUTED_VALUE"""),"Humanitarian conditions")</f>
        <v>Humanitarian conditions</v>
      </c>
      <c r="E47" s="635" t="str">
        <f ca="1">IFERROR(__xludf.DUMMYFUNCTION("""COMPUTED_VALUE"""),"Living Standards")</f>
        <v>Living Standards</v>
      </c>
      <c r="F47" s="635" t="str">
        <f ca="1">IFERROR(__xludf.DUMMYFUNCTION("""COMPUTED_VALUE"""),"Number of inpatient beds per 10,000")</f>
        <v>Number of inpatient beds per 10,000</v>
      </c>
      <c r="G47" s="634"/>
      <c r="H47" s="636">
        <f ca="1">IFERROR(__xludf.DUMMYFUNCTION("""COMPUTED_VALUE"""),0)</f>
        <v>0</v>
      </c>
      <c r="I47" s="634"/>
      <c r="J47" s="634" t="str">
        <f ca="1">IFERROR(__xludf.DUMMYFUNCTION("""COMPUTED_VALUE"""),"HeRAMS, RHA")</f>
        <v>HeRAMS, RHA</v>
      </c>
      <c r="K47" s="635" t="str">
        <f ca="1">IFERROR(__xludf.DUMMYFUNCTION("""COMPUTED_VALUE"""),"&gt;= 18")</f>
        <v>&gt;= 18</v>
      </c>
      <c r="L47" s="635" t="str">
        <f ca="1">IFERROR(__xludf.DUMMYFUNCTION("""COMPUTED_VALUE"""),"&gt;= 18")</f>
        <v>&gt;= 18</v>
      </c>
      <c r="M47" s="635" t="str">
        <f ca="1">IFERROR(__xludf.DUMMYFUNCTION("""COMPUTED_VALUE"""),"12 &lt; =17")</f>
        <v>12 &lt; =17</v>
      </c>
      <c r="N47" s="635" t="str">
        <f ca="1">IFERROR(__xludf.DUMMYFUNCTION("""COMPUTED_VALUE"""),"6 &lt; = 11")</f>
        <v>6 &lt; = 11</v>
      </c>
      <c r="O47" s="635" t="str">
        <f ca="1">IFERROR(__xludf.DUMMYFUNCTION("""COMPUTED_VALUE"""),"&lt;= 5")</f>
        <v>&lt;= 5</v>
      </c>
      <c r="P47" s="634" t="str">
        <f ca="1">IFERROR(__xludf.DUMMYFUNCTION("""COMPUTED_VALUE"""),"Indicator for the availability of hospital beds across crisis areas and proxy indicator of equity in the allocation of resources.  Only the first threshold has been tested and has evidence behind it.  The others have been arbitrarily selected and should n"&amp;"ot be considered accurate measures at this stage")</f>
        <v>Indicator for the availability of hospital beds across crisis areas and proxy indicator of equity in the allocation of resources.  Only the first threshold has been tested and has evidence behind it.  The others have been arbitrarily selected and should not be considered accurate measures at this stage</v>
      </c>
      <c r="Q47" s="372"/>
      <c r="R47" s="372"/>
      <c r="S47" s="372"/>
    </row>
    <row r="48" spans="1:19" s="259" customFormat="1" ht="12.5">
      <c r="A48" s="655">
        <f ca="1">IFERROR(__xludf.DUMMYFUNCTION("""COMPUTED_VALUE"""),39)</f>
        <v>39</v>
      </c>
      <c r="B48" s="634" t="str">
        <f ca="1">IFERROR(__xludf.DUMMYFUNCTION("""COMPUTED_VALUE"""),"Health")</f>
        <v>Health</v>
      </c>
      <c r="C48" s="634" t="str">
        <f ca="1">IFERROR(__xludf.DUMMYFUNCTION("""COMPUTED_VALUE"""),"General Clinical Services")</f>
        <v>General Clinical Services</v>
      </c>
      <c r="D48" s="635" t="str">
        <f ca="1">IFERROR(__xludf.DUMMYFUNCTION("""COMPUTED_VALUE"""),"Humanitarian conditions")</f>
        <v>Humanitarian conditions</v>
      </c>
      <c r="E48" s="635" t="str">
        <f ca="1">IFERROR(__xludf.DUMMYFUNCTION("""COMPUTED_VALUE"""),"Living Standards")</f>
        <v>Living Standards</v>
      </c>
      <c r="F48" s="635" t="str">
        <f ca="1">IFERROR(__xludf.DUMMYFUNCTION("""COMPUTED_VALUE"""),"Percentage of population that can access primary healthcare within one hour’s walk from dwellings")</f>
        <v>Percentage of population that can access primary healthcare within one hour’s walk from dwellings</v>
      </c>
      <c r="G48" s="634"/>
      <c r="H48" s="636">
        <f ca="1">IFERROR(__xludf.DUMMYFUNCTION("""COMPUTED_VALUE"""),1)</f>
        <v>1</v>
      </c>
      <c r="I48" s="634"/>
      <c r="J48" s="634" t="str">
        <f ca="1">IFERROR(__xludf.DUMMYFUNCTION("""COMPUTED_VALUE"""),"Survey")</f>
        <v>Survey</v>
      </c>
      <c r="K48" s="635" t="str">
        <f ca="1">IFERROR(__xludf.DUMMYFUNCTION("""COMPUTED_VALUE"""),"&gt;= 80%")</f>
        <v>&gt;= 80%</v>
      </c>
      <c r="L48" s="635" t="str">
        <f ca="1">IFERROR(__xludf.DUMMYFUNCTION("""COMPUTED_VALUE"""),"&gt;= 80%")</f>
        <v>&gt;= 80%</v>
      </c>
      <c r="M48" s="635" t="str">
        <f ca="1">IFERROR(__xludf.DUMMYFUNCTION("""COMPUTED_VALUE"""),"70% &lt; 79%")</f>
        <v>70% &lt; 79%</v>
      </c>
      <c r="N48" s="635" t="str">
        <f ca="1">IFERROR(__xludf.DUMMYFUNCTION("""COMPUTED_VALUE"""),"60% &lt; 69%")</f>
        <v>60% &lt; 69%</v>
      </c>
      <c r="O48" s="635" t="str">
        <f ca="1">IFERROR(__xludf.DUMMYFUNCTION("""COMPUTED_VALUE"""),"&lt; 60%")</f>
        <v>&lt; 60%</v>
      </c>
      <c r="P48" s="634" t="str">
        <f ca="1">IFERROR(__xludf.DUMMYFUNCTION("""COMPUTED_VALUE"""),"Only the first threshold has been tested and has evidence behind it.  The others have been arbitrarily selected and should not be considered accurate measures at this stage")</f>
        <v>Only the first threshold has been tested and has evidence behind it.  The others have been arbitrarily selected and should not be considered accurate measures at this stage</v>
      </c>
      <c r="Q48" s="372"/>
      <c r="R48" s="372"/>
      <c r="S48" s="372"/>
    </row>
    <row r="49" spans="1:19" s="259" customFormat="1" ht="12.5">
      <c r="A49" s="655">
        <f ca="1">IFERROR(__xludf.DUMMYFUNCTION("""COMPUTED_VALUE"""),40)</f>
        <v>40</v>
      </c>
      <c r="B49" s="634" t="str">
        <f ca="1">IFERROR(__xludf.DUMMYFUNCTION("""COMPUTED_VALUE"""),"Health")</f>
        <v>Health</v>
      </c>
      <c r="C49" s="635" t="str">
        <f ca="1">IFERROR(__xludf.DUMMYFUNCTION("""COMPUTED_VALUE"""),"General Clinical Services")</f>
        <v>General Clinical Services</v>
      </c>
      <c r="D49" s="635" t="str">
        <f ca="1">IFERROR(__xludf.DUMMYFUNCTION("""COMPUTED_VALUE"""),"Impact")</f>
        <v>Impact</v>
      </c>
      <c r="E49" s="635" t="str">
        <f ca="1">IFERROR(__xludf.DUMMYFUNCTION("""COMPUTED_VALUE"""),"Impact on Services")</f>
        <v>Impact on Services</v>
      </c>
      <c r="F49" s="635" t="str">
        <f ca="1">IFERROR(__xludf.DUMMYFUNCTION("""COMPUTED_VALUE"""),"Number of days essential medicines are not available in a one month period")</f>
        <v>Number of days essential medicines are not available in a one month period</v>
      </c>
      <c r="G49" s="634"/>
      <c r="H49" s="636">
        <f ca="1">IFERROR(__xludf.DUMMYFUNCTION("""COMPUTED_VALUE"""),1)</f>
        <v>1</v>
      </c>
      <c r="I49" s="634"/>
      <c r="J49" s="634" t="str">
        <f ca="1">IFERROR(__xludf.DUMMYFUNCTION("""COMPUTED_VALUE"""),"IRA, RHA, Surveys, Broader survey of health facilities")</f>
        <v>IRA, RHA, Surveys, Broader survey of health facilities</v>
      </c>
      <c r="K49" s="635"/>
      <c r="L49" s="635"/>
      <c r="M49" s="635"/>
      <c r="N49" s="635"/>
      <c r="O49" s="635"/>
      <c r="P49" s="634" t="str">
        <f ca="1">IFERROR(__xludf.DUMMYFUNCTION("""COMPUTED_VALUE"""),"SPHERE standard. Essential medicines include drugs, vaccines and blood products. Should be based on the national essential medicines list. The indicator will need a list of 'essential medicines' for each context. ANY of those being unavailable for a day c"&amp;"ounts as 1 day. Expired medicines should not be counted")</f>
        <v>SPHERE standard. Essential medicines include drugs, vaccines and blood products. Should be based on the national essential medicines list. The indicator will need a list of 'essential medicines' for each context. ANY of those being unavailable for a day counts as 1 day. Expired medicines should not be counted</v>
      </c>
      <c r="Q49" s="372"/>
      <c r="R49" s="372"/>
      <c r="S49" s="372"/>
    </row>
    <row r="50" spans="1:19" s="259" customFormat="1" ht="12.5">
      <c r="A50" s="655">
        <f ca="1">IFERROR(__xludf.DUMMYFUNCTION("""COMPUTED_VALUE"""),41)</f>
        <v>41</v>
      </c>
      <c r="B50" s="634" t="str">
        <f ca="1">IFERROR(__xludf.DUMMYFUNCTION("""COMPUTED_VALUE"""),"Health")</f>
        <v>Health</v>
      </c>
      <c r="C50" s="634" t="str">
        <f ca="1">IFERROR(__xludf.DUMMYFUNCTION("""COMPUTED_VALUE"""),"General Health")</f>
        <v>General Health</v>
      </c>
      <c r="D50" s="635" t="str">
        <f ca="1">IFERROR(__xludf.DUMMYFUNCTION("""COMPUTED_VALUE"""),"Impact")</f>
        <v>Impact</v>
      </c>
      <c r="E50" s="635" t="str">
        <f ca="1">IFERROR(__xludf.DUMMYFUNCTION("""COMPUTED_VALUE"""),"Impact on Services")</f>
        <v>Impact on Services</v>
      </c>
      <c r="F50" s="635" t="str">
        <f ca="1">IFERROR(__xludf.DUMMYFUNCTION("""COMPUTED_VALUE"""),"Average population per functioning health facility (HF), by type of HF")</f>
        <v>Average population per functioning health facility (HF), by type of HF</v>
      </c>
      <c r="G50" s="634"/>
      <c r="H50" s="636">
        <f ca="1">IFERROR(__xludf.DUMMYFUNCTION("""COMPUTED_VALUE"""),0)</f>
        <v>0</v>
      </c>
      <c r="I50" s="634"/>
      <c r="J50" s="634" t="str">
        <f ca="1">IFERROR(__xludf.DUMMYFUNCTION("""COMPUTED_VALUE"""),"HeRAMS or similar service
EPI microplanning data from vaccine or NID campaign")</f>
        <v>HeRAMS or similar service
EPI microplanning data from vaccine or NID campaign</v>
      </c>
      <c r="K50" s="635"/>
      <c r="L50" s="635"/>
      <c r="M50" s="635"/>
      <c r="N50" s="635"/>
      <c r="O50" s="635"/>
      <c r="P50" s="634" t="str">
        <f ca="1">IFERROR(__xludf.DUMMYFUNCTION("""COMPUTED_VALUE"""),"This is a proxy indicator of geographical accessibility and of equity in availability of health facilities across different administrative units within the crisis areas
Please note, this will not adequately measure healthcare coverage in all settings and "&amp;"should be used in conjunction with other indicators.
If an existing current population dataset is available, then HERAMS is preferable for broad statements like national or sub-national (but not community) coverage. When planning at LOCAL levels then othe"&amp;"r methods should be used.
It is important to assess the quality of the data available and make a note of said quality where the indicator is reported.")</f>
        <v>This is a proxy indicator of geographical accessibility and of equity in availability of health facilities across different administrative units within the crisis areas
Please note, this will not adequately measure healthcare coverage in all settings and should be used in conjunction with other indicators.
If an existing current population dataset is available, then HERAMS is preferable for broad statements like national or sub-national (but not community) coverage. When planning at LOCAL levels then other methods should be used.
It is important to assess the quality of the data available and make a note of said quality where the indicator is reported.</v>
      </c>
      <c r="Q50" s="372"/>
      <c r="R50" s="372"/>
      <c r="S50" s="372"/>
    </row>
    <row r="51" spans="1:19" s="259" customFormat="1" ht="12.5">
      <c r="A51" s="655">
        <f ca="1">IFERROR(__xludf.DUMMYFUNCTION("""COMPUTED_VALUE"""),42)</f>
        <v>42</v>
      </c>
      <c r="B51" s="634" t="str">
        <f ca="1">IFERROR(__xludf.DUMMYFUNCTION("""COMPUTED_VALUE"""),"Health")</f>
        <v>Health</v>
      </c>
      <c r="C51" s="634" t="str">
        <f ca="1">IFERROR(__xludf.DUMMYFUNCTION("""COMPUTED_VALUE"""),"Sexual Reproductive Health")</f>
        <v>Sexual Reproductive Health</v>
      </c>
      <c r="D51" s="635" t="str">
        <f ca="1">IFERROR(__xludf.DUMMYFUNCTION("""COMPUTED_VALUE"""),"Humanitarian conditions")</f>
        <v>Humanitarian conditions</v>
      </c>
      <c r="E51" s="635" t="str">
        <f ca="1">IFERROR(__xludf.DUMMYFUNCTION("""COMPUTED_VALUE"""),"Living Standards")</f>
        <v>Living Standards</v>
      </c>
      <c r="F51" s="635" t="str">
        <f ca="1">IFERROR(__xludf.DUMMYFUNCTION("""COMPUTED_VALUE"""),"Number of HF with Basic Emergency Obstetric Care/ 500,000 population, by administrative unit")</f>
        <v>Number of HF with Basic Emergency Obstetric Care/ 500,000 population, by administrative unit</v>
      </c>
      <c r="G51" s="634"/>
      <c r="H51" s="634"/>
      <c r="I51" s="634"/>
      <c r="J51" s="634" t="str">
        <f ca="1">IFERROR(__xludf.DUMMYFUNCTION("""COMPUTED_VALUE"""),"HeRAMS / similar service")</f>
        <v>HeRAMS / similar service</v>
      </c>
      <c r="K51" s="635" t="str">
        <f ca="1">IFERROR(__xludf.DUMMYFUNCTION("""COMPUTED_VALUE"""),"4+")</f>
        <v>4+</v>
      </c>
      <c r="L51" s="635" t="str">
        <f ca="1">IFERROR(__xludf.DUMMYFUNCTION("""COMPUTED_VALUE"""),"4+")</f>
        <v>4+</v>
      </c>
      <c r="M51" s="644">
        <f ca="1">IFERROR(__xludf.DUMMYFUNCTION("""COMPUTED_VALUE"""),3)</f>
        <v>3</v>
      </c>
      <c r="N51" s="644">
        <f ca="1">IFERROR(__xludf.DUMMYFUNCTION("""COMPUTED_VALUE"""),2)</f>
        <v>2</v>
      </c>
      <c r="O51" s="635" t="str">
        <f ca="1">IFERROR(__xludf.DUMMYFUNCTION("""COMPUTED_VALUE"""),"&lt;= 1")</f>
        <v>&lt;= 1</v>
      </c>
      <c r="P51" s="634" t="str">
        <f ca="1">IFERROR(__xludf.DUMMYFUNCTION("""COMPUTED_VALUE"""),"Proxy indicators for the physical availability and geographical accessibility of emergency obstetric services and their distribution across districts in the affected areas. An unbalance between the availability of BEmOC and CEmOC (with too few BEmOC) is o"&amp;"ften observed.
Only the first threshold has been tested and has evidence behind it.  The others have been arbitrarily selected and should not be considered accurate measures at this stage")</f>
        <v>Proxy indicators for the physical availability and geographical accessibility of emergency obstetric services and their distribution across districts in the affected areas. An unbalance between the availability of BEmOC and CEmOC (with too few BEmOC) is often observed.
Only the first threshold has been tested and has evidence behind it.  The others have been arbitrarily selected and should not be considered accurate measures at this stage</v>
      </c>
      <c r="Q51" s="372"/>
      <c r="R51" s="372"/>
      <c r="S51" s="372"/>
    </row>
    <row r="52" spans="1:19" s="259" customFormat="1" ht="12.5">
      <c r="A52" s="655">
        <f ca="1">IFERROR(__xludf.DUMMYFUNCTION("""COMPUTED_VALUE"""),43)</f>
        <v>43</v>
      </c>
      <c r="B52" s="634" t="str">
        <f ca="1">IFERROR(__xludf.DUMMYFUNCTION("""COMPUTED_VALUE"""),"Health")</f>
        <v>Health</v>
      </c>
      <c r="C52" s="634" t="str">
        <f ca="1">IFERROR(__xludf.DUMMYFUNCTION("""COMPUTED_VALUE"""),"Sexual Reproductive Health")</f>
        <v>Sexual Reproductive Health</v>
      </c>
      <c r="D52" s="635" t="str">
        <f ca="1">IFERROR(__xludf.DUMMYFUNCTION("""COMPUTED_VALUE"""),"Humanitarian conditions")</f>
        <v>Humanitarian conditions</v>
      </c>
      <c r="E52" s="635" t="str">
        <f ca="1">IFERROR(__xludf.DUMMYFUNCTION("""COMPUTED_VALUE"""),"Living Standards")</f>
        <v>Living Standards</v>
      </c>
      <c r="F52" s="635" t="str">
        <f ca="1">IFERROR(__xludf.DUMMYFUNCTION("""COMPUTED_VALUE"""),"Number of skilled birth attendant personnel (doctors, nurses, certified midwives) per 10,000 people")</f>
        <v>Number of skilled birth attendant personnel (doctors, nurses, certified midwives) per 10,000 people</v>
      </c>
      <c r="G52" s="634"/>
      <c r="H52" s="636">
        <f ca="1">IFERROR(__xludf.DUMMYFUNCTION("""COMPUTED_VALUE"""),1)</f>
        <v>1</v>
      </c>
      <c r="I52" s="634"/>
      <c r="J52" s="634" t="str">
        <f ca="1">IFERROR(__xludf.DUMMYFUNCTION("""COMPUTED_VALUE"""),"HeRAMS")</f>
        <v>HeRAMS</v>
      </c>
      <c r="K52" s="635" t="str">
        <f ca="1">IFERROR(__xludf.DUMMYFUNCTION("""COMPUTED_VALUE"""),"&gt;= 23")</f>
        <v>&gt;= 23</v>
      </c>
      <c r="L52" s="635" t="str">
        <f ca="1">IFERROR(__xludf.DUMMYFUNCTION("""COMPUTED_VALUE"""),"&gt;= 23")</f>
        <v>&gt;= 23</v>
      </c>
      <c r="M52" s="635" t="str">
        <f ca="1">IFERROR(__xludf.DUMMYFUNCTION("""COMPUTED_VALUE"""),"&gt;= 19")</f>
        <v>&gt;= 19</v>
      </c>
      <c r="N52" s="635" t="str">
        <f ca="1">IFERROR(__xludf.DUMMYFUNCTION("""COMPUTED_VALUE"""),"&gt;= 15")</f>
        <v>&gt;= 15</v>
      </c>
      <c r="O52" s="635" t="str">
        <f ca="1">IFERROR(__xludf.DUMMYFUNCTION("""COMPUTED_VALUE"""),"&gt;= 11")</f>
        <v>&gt;= 11</v>
      </c>
      <c r="P52" s="634" t="str">
        <f ca="1">IFERROR(__xludf.DUMMYFUNCTION("""COMPUTED_VALUE"""),"Only the first threshold has been tested and has evidence behind it.  The others have been arbitrarily selected and should not be considered accurate measures at this stage")</f>
        <v>Only the first threshold has been tested and has evidence behind it.  The others have been arbitrarily selected and should not be considered accurate measures at this stage</v>
      </c>
      <c r="Q52" s="372"/>
      <c r="R52" s="372"/>
      <c r="S52" s="372"/>
    </row>
    <row r="53" spans="1:19" s="259" customFormat="1" ht="12.5">
      <c r="A53" s="655">
        <f ca="1">IFERROR(__xludf.DUMMYFUNCTION("""COMPUTED_VALUE"""),44)</f>
        <v>44</v>
      </c>
      <c r="B53" s="634" t="str">
        <f ca="1">IFERROR(__xludf.DUMMYFUNCTION("""COMPUTED_VALUE"""),"Health")</f>
        <v>Health</v>
      </c>
      <c r="C53" s="634" t="str">
        <f ca="1">IFERROR(__xludf.DUMMYFUNCTION("""COMPUTED_VALUE"""),"SSA")</f>
        <v>SSA</v>
      </c>
      <c r="D53" s="635" t="str">
        <f ca="1">IFERROR(__xludf.DUMMYFUNCTION("""COMPUTED_VALUE"""),"Impact")</f>
        <v>Impact</v>
      </c>
      <c r="E53" s="635" t="str">
        <f ca="1">IFERROR(__xludf.DUMMYFUNCTION("""COMPUTED_VALUE"""),"Impact on Services")</f>
        <v>Impact on Services</v>
      </c>
      <c r="F53" s="635" t="str">
        <f ca="1">IFERROR(__xludf.DUMMYFUNCTION("""COMPUTED_VALUE"""),"Percentage of identified SSA incidents verified")</f>
        <v>Percentage of identified SSA incidents verified</v>
      </c>
      <c r="G53" s="634"/>
      <c r="H53" s="636">
        <f ca="1">IFERROR(__xludf.DUMMYFUNCTION("""COMPUTED_VALUE"""),1)</f>
        <v>1</v>
      </c>
      <c r="I53" s="634"/>
      <c r="J53" s="634" t="str">
        <f ca="1">IFERROR(__xludf.DUMMYFUNCTION("""COMPUTED_VALUE""")," SSA")</f>
        <v> SSA</v>
      </c>
      <c r="K53" s="644">
        <f ca="1">IFERROR(__xludf.DUMMYFUNCTION("""COMPUTED_VALUE"""),0)</f>
        <v>0</v>
      </c>
      <c r="L53" s="644">
        <f ca="1">IFERROR(__xludf.DUMMYFUNCTION("""COMPUTED_VALUE"""),0)</f>
        <v>0</v>
      </c>
      <c r="M53" s="644">
        <f ca="1">IFERROR(__xludf.DUMMYFUNCTION("""COMPUTED_VALUE"""),1)</f>
        <v>1</v>
      </c>
      <c r="N53" s="644">
        <f ca="1">IFERROR(__xludf.DUMMYFUNCTION("""COMPUTED_VALUE"""),1)</f>
        <v>1</v>
      </c>
      <c r="O53" s="635" t="str">
        <f ca="1">IFERROR(__xludf.DUMMYFUNCTION("""COMPUTED_VALUE"""),"1+")</f>
        <v>1+</v>
      </c>
      <c r="P53" s="634" t="str">
        <f ca="1">IFERROR(__xludf.DUMMYFUNCTION("""COMPUTED_VALUE"""),"Indicator adjusted to: total number of confirmed incidents over a set period of time.  As reporting period and area of interest will change, I doubt it makes sense to provide a fixed cut off.")</f>
        <v>Indicator adjusted to: total number of confirmed incidents over a set period of time.  As reporting period and area of interest will change, I doubt it makes sense to provide a fixed cut off.</v>
      </c>
      <c r="Q53" s="372"/>
      <c r="R53" s="372"/>
      <c r="S53" s="372"/>
    </row>
    <row r="54" spans="1:19" s="259" customFormat="1" ht="12.5">
      <c r="A54" s="655">
        <f ca="1">IFERROR(__xludf.DUMMYFUNCTION("""COMPUTED_VALUE"""),45)</f>
        <v>45</v>
      </c>
      <c r="B54" s="645" t="str">
        <f ca="1">IFERROR(__xludf.DUMMYFUNCTION("""COMPUTED_VALUE"""),"Nutrition")</f>
        <v>Nutrition</v>
      </c>
      <c r="C54" s="645" t="str">
        <f ca="1">IFERROR(__xludf.DUMMYFUNCTION("""COMPUTED_VALUE"""),"Care and feeding practices")</f>
        <v>Care and feeding practices</v>
      </c>
      <c r="D54" s="646" t="str">
        <f ca="1">IFERROR(__xludf.DUMMYFUNCTION("""COMPUTED_VALUE"""),"Humanitarian conditions")</f>
        <v>Humanitarian conditions</v>
      </c>
      <c r="E54" s="646" t="str">
        <f ca="1">IFERROR(__xludf.DUMMYFUNCTION("""COMPUTED_VALUE"""),"Living Standards")</f>
        <v>Living Standards</v>
      </c>
      <c r="F54" s="646" t="str">
        <f ca="1">IFERROR(__xludf.DUMMYFUNCTION("""COMPUTED_VALUE"""),"Exclusive breastfeeding for infants 0-5 months")</f>
        <v>Exclusive breastfeeding for infants 0-5 months</v>
      </c>
      <c r="G54" s="645"/>
      <c r="H54" s="647">
        <f ca="1">IFERROR(__xludf.DUMMYFUNCTION("""COMPUTED_VALUE"""),2)</f>
        <v>2</v>
      </c>
      <c r="I54" s="645" t="str">
        <f ca="1">IFERROR(__xludf.DUMMYFUNCTION("""COMPUTED_VALUE"""),"HH survey ")</f>
        <v xml:space="preserve">HH survey </v>
      </c>
      <c r="J54" s="645" t="str">
        <f ca="1">IFERROR(__xludf.DUMMYFUNCTION("""COMPUTED_VALUE"""),"SMART surveys")</f>
        <v>SMART surveys</v>
      </c>
      <c r="K54" s="646" t="str">
        <f ca="1">IFERROR(__xludf.DUMMYFUNCTION("""COMPUTED_VALUE"""),"≥70%")</f>
        <v>≥70%</v>
      </c>
      <c r="L54" s="646" t="str">
        <f ca="1">IFERROR(__xludf.DUMMYFUNCTION("""COMPUTED_VALUE"""),"50-70%")</f>
        <v>50-70%</v>
      </c>
      <c r="M54" s="646" t="str">
        <f ca="1">IFERROR(__xludf.DUMMYFUNCTION("""COMPUTED_VALUE"""),"30 -50%")</f>
        <v>30 -50%</v>
      </c>
      <c r="N54" s="646" t="str">
        <f ca="1">IFERROR(__xludf.DUMMYFUNCTION("""COMPUTED_VALUE"""),"11-30%")</f>
        <v>11-30%</v>
      </c>
      <c r="O54" s="646" t="str">
        <f ca="1">IFERROR(__xludf.DUMMYFUNCTION("""COMPUTED_VALUE"""),"&lt;11%")</f>
        <v>&lt;11%</v>
      </c>
      <c r="P54" s="645"/>
      <c r="Q54" s="372"/>
      <c r="R54" s="372"/>
      <c r="S54" s="372"/>
    </row>
    <row r="55" spans="1:19" s="259" customFormat="1" ht="12.5">
      <c r="A55" s="655">
        <f ca="1">IFERROR(__xludf.DUMMYFUNCTION("""COMPUTED_VALUE"""),46)</f>
        <v>46</v>
      </c>
      <c r="B55" s="645" t="str">
        <f ca="1">IFERROR(__xludf.DUMMYFUNCTION("""COMPUTED_VALUE"""),"Nutrition")</f>
        <v>Nutrition</v>
      </c>
      <c r="C55" s="645" t="str">
        <f ca="1">IFERROR(__xludf.DUMMYFUNCTION("""COMPUTED_VALUE"""),"Care and feeding practices")</f>
        <v>Care and feeding practices</v>
      </c>
      <c r="D55" s="646" t="str">
        <f ca="1">IFERROR(__xludf.DUMMYFUNCTION("""COMPUTED_VALUE"""),"Humanitarian conditions")</f>
        <v>Humanitarian conditions</v>
      </c>
      <c r="E55" s="646" t="str">
        <f ca="1">IFERROR(__xludf.DUMMYFUNCTION("""COMPUTED_VALUE"""),"Living Standards")</f>
        <v>Living Standards</v>
      </c>
      <c r="F55" s="646" t="str">
        <f ca="1">IFERROR(__xludf.DUMMYFUNCTION("""COMPUTED_VALUE"""),"Infants 0-5 months that are not breastfed who have access to Breast Milk Substitutes (BMS) supplies and support in line with the Code and the IFE OG standards and recommendations")</f>
        <v>Infants 0-5 months that are not breastfed who have access to Breast Milk Substitutes (BMS) supplies and support in line with the Code and the IFE OG standards and recommendations</v>
      </c>
      <c r="G55" s="645"/>
      <c r="H55" s="647">
        <f ca="1">IFERROR(__xludf.DUMMYFUNCTION("""COMPUTED_VALUE"""),2)</f>
        <v>2</v>
      </c>
      <c r="I55" s="645" t="str">
        <f ca="1">IFERROR(__xludf.DUMMYFUNCTION("""COMPUTED_VALUE"""),"HH survey ")</f>
        <v xml:space="preserve">HH survey </v>
      </c>
      <c r="J55" s="645" t="str">
        <f ca="1">IFERROR(__xludf.DUMMYFUNCTION("""COMPUTED_VALUE"""),"SMART surveys")</f>
        <v>SMART surveys</v>
      </c>
      <c r="K55" s="646" t="str">
        <f ca="1">IFERROR(__xludf.DUMMYFUNCTION("""COMPUTED_VALUE"""),"≥60%")</f>
        <v>≥60%</v>
      </c>
      <c r="L55" s="646" t="str">
        <f ca="1">IFERROR(__xludf.DUMMYFUNCTION("""COMPUTED_VALUE"""),"40-60%")</f>
        <v>40-60%</v>
      </c>
      <c r="M55" s="646" t="str">
        <f ca="1">IFERROR(__xludf.DUMMYFUNCTION("""COMPUTED_VALUE"""),"20-40%")</f>
        <v>20-40%</v>
      </c>
      <c r="N55" s="646" t="str">
        <f ca="1">IFERROR(__xludf.DUMMYFUNCTION("""COMPUTED_VALUE"""),"10-20%")</f>
        <v>10-20%</v>
      </c>
      <c r="O55" s="646" t="str">
        <f ca="1">IFERROR(__xludf.DUMMYFUNCTION("""COMPUTED_VALUE"""),"&lt;10%")</f>
        <v>&lt;10%</v>
      </c>
      <c r="P55" s="645"/>
      <c r="Q55" s="372"/>
      <c r="R55" s="372"/>
      <c r="S55" s="372"/>
    </row>
    <row r="56" spans="1:19" s="259" customFormat="1" ht="12.5">
      <c r="A56" s="655">
        <f ca="1">IFERROR(__xludf.DUMMYFUNCTION("""COMPUTED_VALUE"""),47)</f>
        <v>47</v>
      </c>
      <c r="B56" s="645" t="str">
        <f ca="1">IFERROR(__xludf.DUMMYFUNCTION("""COMPUTED_VALUE"""),"Nutrition")</f>
        <v>Nutrition</v>
      </c>
      <c r="C56" s="645" t="str">
        <f ca="1">IFERROR(__xludf.DUMMYFUNCTION("""COMPUTED_VALUE"""),"Care and feeding practices")</f>
        <v>Care and feeding practices</v>
      </c>
      <c r="D56" s="646" t="str">
        <f ca="1">IFERROR(__xludf.DUMMYFUNCTION("""COMPUTED_VALUE"""),"Humanitarian conditions")</f>
        <v>Humanitarian conditions</v>
      </c>
      <c r="E56" s="646" t="str">
        <f ca="1">IFERROR(__xludf.DUMMYFUNCTION("""COMPUTED_VALUE"""),"Living Standards")</f>
        <v>Living Standards</v>
      </c>
      <c r="F56" s="646" t="str">
        <f ca="1">IFERROR(__xludf.DUMMYFUNCTION("""COMPUTED_VALUE"""),"Infants 6-11 months that are not breastfed who have access to Breast Milk Substitutes (BMS) supplies and support in line with the Code and the IFE OG standards and recommendations")</f>
        <v>Infants 6-11 months that are not breastfed who have access to Breast Milk Substitutes (BMS) supplies and support in line with the Code and the IFE OG standards and recommendations</v>
      </c>
      <c r="G56" s="645"/>
      <c r="H56" s="647">
        <f ca="1">IFERROR(__xludf.DUMMYFUNCTION("""COMPUTED_VALUE"""),3)</f>
        <v>3</v>
      </c>
      <c r="I56" s="645" t="str">
        <f ca="1">IFERROR(__xludf.DUMMYFUNCTION("""COMPUTED_VALUE"""),"HH survey ")</f>
        <v xml:space="preserve">HH survey </v>
      </c>
      <c r="J56" s="645" t="str">
        <f ca="1">IFERROR(__xludf.DUMMYFUNCTION("""COMPUTED_VALUE"""),"SMART surveys")</f>
        <v>SMART surveys</v>
      </c>
      <c r="K56" s="646" t="str">
        <f ca="1">IFERROR(__xludf.DUMMYFUNCTION("""COMPUTED_VALUE"""),"≥60%")</f>
        <v>≥60%</v>
      </c>
      <c r="L56" s="646" t="str">
        <f ca="1">IFERROR(__xludf.DUMMYFUNCTION("""COMPUTED_VALUE"""),"40-60%")</f>
        <v>40-60%</v>
      </c>
      <c r="M56" s="646" t="str">
        <f ca="1">IFERROR(__xludf.DUMMYFUNCTION("""COMPUTED_VALUE"""),"20-40%")</f>
        <v>20-40%</v>
      </c>
      <c r="N56" s="646" t="str">
        <f ca="1">IFERROR(__xludf.DUMMYFUNCTION("""COMPUTED_VALUE"""),"10-20%")</f>
        <v>10-20%</v>
      </c>
      <c r="O56" s="646" t="str">
        <f ca="1">IFERROR(__xludf.DUMMYFUNCTION("""COMPUTED_VALUE"""),"&lt;10%")</f>
        <v>&lt;10%</v>
      </c>
      <c r="P56" s="645"/>
      <c r="Q56" s="372"/>
      <c r="R56" s="372"/>
      <c r="S56" s="372"/>
    </row>
    <row r="57" spans="1:19" s="259" customFormat="1" ht="12.5">
      <c r="A57" s="655">
        <f ca="1">IFERROR(__xludf.DUMMYFUNCTION("""COMPUTED_VALUE"""),48)</f>
        <v>48</v>
      </c>
      <c r="B57" s="645" t="str">
        <f ca="1">IFERROR(__xludf.DUMMYFUNCTION("""COMPUTED_VALUE"""),"Nutrition")</f>
        <v>Nutrition</v>
      </c>
      <c r="C57" s="645" t="str">
        <f ca="1">IFERROR(__xludf.DUMMYFUNCTION("""COMPUTED_VALUE"""),"Food consumption")</f>
        <v>Food consumption</v>
      </c>
      <c r="D57" s="646" t="str">
        <f ca="1">IFERROR(__xludf.DUMMYFUNCTION("""COMPUTED_VALUE"""),"Humanitarian conditions")</f>
        <v>Humanitarian conditions</v>
      </c>
      <c r="E57" s="646" t="str">
        <f ca="1">IFERROR(__xludf.DUMMYFUNCTION("""COMPUTED_VALUE"""),"Living Standards")</f>
        <v>Living Standards</v>
      </c>
      <c r="F57" s="646" t="str">
        <f ca="1">IFERROR(__xludf.DUMMYFUNCTION("""COMPUTED_VALUE"""),"Minimum Acceptable Diet in children 6 to 23 months")</f>
        <v>Minimum Acceptable Diet in children 6 to 23 months</v>
      </c>
      <c r="G57" s="645"/>
      <c r="H57" s="647">
        <f ca="1">IFERROR(__xludf.DUMMYFUNCTION("""COMPUTED_VALUE"""),1)</f>
        <v>1</v>
      </c>
      <c r="I57" s="645" t="str">
        <f ca="1">IFERROR(__xludf.DUMMYFUNCTION("""COMPUTED_VALUE"""),"HH survey ")</f>
        <v xml:space="preserve">HH survey </v>
      </c>
      <c r="J57" s="645" t="str">
        <f ca="1">IFERROR(__xludf.DUMMYFUNCTION("""COMPUTED_VALUE"""),"SMART surveys")</f>
        <v>SMART surveys</v>
      </c>
      <c r="K57" s="646" t="str">
        <f ca="1">IFERROR(__xludf.DUMMYFUNCTION("""COMPUTED_VALUE"""),"≥70%")</f>
        <v>≥70%</v>
      </c>
      <c r="L57" s="646" t="str">
        <f ca="1">IFERROR(__xludf.DUMMYFUNCTION("""COMPUTED_VALUE"""),"40-70%")</f>
        <v>40-70%</v>
      </c>
      <c r="M57" s="646" t="str">
        <f ca="1">IFERROR(__xludf.DUMMYFUNCTION("""COMPUTED_VALUE"""),"20-40%")</f>
        <v>20-40%</v>
      </c>
      <c r="N57" s="646" t="str">
        <f ca="1">IFERROR(__xludf.DUMMYFUNCTION("""COMPUTED_VALUE"""),"10-20%")</f>
        <v>10-20%</v>
      </c>
      <c r="O57" s="646" t="str">
        <f ca="1">IFERROR(__xludf.DUMMYFUNCTION("""COMPUTED_VALUE"""),"&lt;10%")</f>
        <v>&lt;10%</v>
      </c>
      <c r="P57" s="645"/>
      <c r="Q57" s="372"/>
      <c r="R57" s="372"/>
      <c r="S57" s="372"/>
    </row>
    <row r="58" spans="1:19" s="259" customFormat="1" ht="12.5">
      <c r="A58" s="655">
        <f ca="1">IFERROR(__xludf.DUMMYFUNCTION("""COMPUTED_VALUE"""),49)</f>
        <v>49</v>
      </c>
      <c r="B58" s="645" t="str">
        <f ca="1">IFERROR(__xludf.DUMMYFUNCTION("""COMPUTED_VALUE"""),"Nutrition")</f>
        <v>Nutrition</v>
      </c>
      <c r="C58" s="645" t="str">
        <f ca="1">IFERROR(__xludf.DUMMYFUNCTION("""COMPUTED_VALUE"""),"Food consumption")</f>
        <v>Food consumption</v>
      </c>
      <c r="D58" s="646" t="str">
        <f ca="1">IFERROR(__xludf.DUMMYFUNCTION("""COMPUTED_VALUE"""),"Humanitarian conditions")</f>
        <v>Humanitarian conditions</v>
      </c>
      <c r="E58" s="646" t="str">
        <f ca="1">IFERROR(__xludf.DUMMYFUNCTION("""COMPUTED_VALUE"""),"Living Standards")</f>
        <v>Living Standards</v>
      </c>
      <c r="F58" s="646" t="str">
        <f ca="1">IFERROR(__xludf.DUMMYFUNCTION("""COMPUTED_VALUE"""),"Minimum Dietary Diversity in children 6 to 23 months")</f>
        <v>Minimum Dietary Diversity in children 6 to 23 months</v>
      </c>
      <c r="G58" s="645"/>
      <c r="H58" s="647">
        <f ca="1">IFERROR(__xludf.DUMMYFUNCTION("""COMPUTED_VALUE"""),1)</f>
        <v>1</v>
      </c>
      <c r="I58" s="645" t="str">
        <f ca="1">IFERROR(__xludf.DUMMYFUNCTION("""COMPUTED_VALUE"""),"HH survey ")</f>
        <v xml:space="preserve">HH survey </v>
      </c>
      <c r="J58" s="645" t="str">
        <f ca="1">IFERROR(__xludf.DUMMYFUNCTION("""COMPUTED_VALUE"""),"SMART surveys")</f>
        <v>SMART surveys</v>
      </c>
      <c r="K58" s="646" t="str">
        <f ca="1">IFERROR(__xludf.DUMMYFUNCTION("""COMPUTED_VALUE"""),"≥70%")</f>
        <v>≥70%</v>
      </c>
      <c r="L58" s="646" t="str">
        <f ca="1">IFERROR(__xludf.DUMMYFUNCTION("""COMPUTED_VALUE"""),"40-70%")</f>
        <v>40-70%</v>
      </c>
      <c r="M58" s="646" t="str">
        <f ca="1">IFERROR(__xludf.DUMMYFUNCTION("""COMPUTED_VALUE"""),"20-40%")</f>
        <v>20-40%</v>
      </c>
      <c r="N58" s="646" t="str">
        <f ca="1">IFERROR(__xludf.DUMMYFUNCTION("""COMPUTED_VALUE"""),"10-20%")</f>
        <v>10-20%</v>
      </c>
      <c r="O58" s="646" t="str">
        <f ca="1">IFERROR(__xludf.DUMMYFUNCTION("""COMPUTED_VALUE"""),"&lt;10%")</f>
        <v>&lt;10%</v>
      </c>
      <c r="P58" s="645"/>
      <c r="Q58" s="372"/>
      <c r="R58" s="372"/>
      <c r="S58" s="372"/>
    </row>
    <row r="59" spans="1:19" s="259" customFormat="1" ht="12.5">
      <c r="A59" s="655">
        <f ca="1">IFERROR(__xludf.DUMMYFUNCTION("""COMPUTED_VALUE"""),50)</f>
        <v>50</v>
      </c>
      <c r="B59" s="645" t="str">
        <f ca="1">IFERROR(__xludf.DUMMYFUNCTION("""COMPUTED_VALUE"""),"Nutrition")</f>
        <v>Nutrition</v>
      </c>
      <c r="C59" s="645" t="str">
        <f ca="1">IFERROR(__xludf.DUMMYFUNCTION("""COMPUTED_VALUE"""),"GAM")</f>
        <v>GAM</v>
      </c>
      <c r="D59" s="646" t="str">
        <f ca="1">IFERROR(__xludf.DUMMYFUNCTION("""COMPUTED_VALUE"""),"Humanitarian conditions")</f>
        <v>Humanitarian conditions</v>
      </c>
      <c r="E59" s="646" t="str">
        <f ca="1">IFERROR(__xludf.DUMMYFUNCTION("""COMPUTED_VALUE"""),"Physical and Mental Wellbeing")</f>
        <v>Physical and Mental Wellbeing</v>
      </c>
      <c r="F59" s="646" t="str">
        <f ca="1">IFERROR(__xludf.DUMMYFUNCTION("""COMPUTED_VALUE"""),"Prevalence of Global Acute Malnutrition (GAM) based on BMI-for-Age Z-Score&lt;-2 among Adolescents")</f>
        <v>Prevalence of Global Acute Malnutrition (GAM) based on BMI-for-Age Z-Score&lt;-2 among Adolescents</v>
      </c>
      <c r="G59" s="645"/>
      <c r="H59" s="647">
        <f ca="1">IFERROR(__xludf.DUMMYFUNCTION("""COMPUTED_VALUE"""),3)</f>
        <v>3</v>
      </c>
      <c r="I59" s="645" t="str">
        <f ca="1">IFERROR(__xludf.DUMMYFUNCTION("""COMPUTED_VALUE"""),"HH survey ")</f>
        <v xml:space="preserve">HH survey </v>
      </c>
      <c r="J59" s="645" t="str">
        <f ca="1">IFERROR(__xludf.DUMMYFUNCTION("""COMPUTED_VALUE"""),"SMART surveys")</f>
        <v>SMART surveys</v>
      </c>
      <c r="K59" s="646" t="str">
        <f ca="1">IFERROR(__xludf.DUMMYFUNCTION("""COMPUTED_VALUE"""),"&lt;2.5%")</f>
        <v>&lt;2.5%</v>
      </c>
      <c r="L59" s="646" t="str">
        <f ca="1">IFERROR(__xludf.DUMMYFUNCTION("""COMPUTED_VALUE"""),"2.5-4.9%")</f>
        <v>2.5-4.9%</v>
      </c>
      <c r="M59" s="646" t="str">
        <f ca="1">IFERROR(__xludf.DUMMYFUNCTION("""COMPUTED_VALUE"""),"5-9.9%")</f>
        <v>5-9.9%</v>
      </c>
      <c r="N59" s="646" t="str">
        <f ca="1">IFERROR(__xludf.DUMMYFUNCTION("""COMPUTED_VALUE"""),"10-14.9%")</f>
        <v>10-14.9%</v>
      </c>
      <c r="O59" s="646" t="str">
        <f ca="1">IFERROR(__xludf.DUMMYFUNCTION("""COMPUTED_VALUE"""),"≥15%")</f>
        <v>≥15%</v>
      </c>
      <c r="P59" s="645"/>
      <c r="Q59" s="372"/>
      <c r="R59" s="372"/>
      <c r="S59" s="372"/>
    </row>
    <row r="60" spans="1:19" s="259" customFormat="1" ht="12.5">
      <c r="A60" s="655">
        <f ca="1">IFERROR(__xludf.DUMMYFUNCTION("""COMPUTED_VALUE"""),51)</f>
        <v>51</v>
      </c>
      <c r="B60" s="645" t="str">
        <f ca="1">IFERROR(__xludf.DUMMYFUNCTION("""COMPUTED_VALUE"""),"Nutrition")</f>
        <v>Nutrition</v>
      </c>
      <c r="C60" s="645" t="str">
        <f ca="1">IFERROR(__xludf.DUMMYFUNCTION("""COMPUTED_VALUE"""),"GAM")</f>
        <v>GAM</v>
      </c>
      <c r="D60" s="645" t="str">
        <f ca="1">IFERROR(__xludf.DUMMYFUNCTION("""COMPUTED_VALUE"""),"Humanitarian conditions")</f>
        <v>Humanitarian conditions</v>
      </c>
      <c r="E60" s="645" t="str">
        <f ca="1">IFERROR(__xludf.DUMMYFUNCTION("""COMPUTED_VALUE"""),"Physical and Mental Wellbeing")</f>
        <v>Physical and Mental Wellbeing</v>
      </c>
      <c r="F60" s="645" t="str">
        <f ca="1">IFERROR(__xludf.DUMMYFUNCTION("""COMPUTED_VALUE"""),"Prevalence of Global Acute Malnutrition (GAM) based on Mid-Upper Arm Circumference (MUAC) &lt;125mm and/or bilateral oedema among children 6-59 months")</f>
        <v>Prevalence of Global Acute Malnutrition (GAM) based on Mid-Upper Arm Circumference (MUAC) &lt;125mm and/or bilateral oedema among children 6-59 months</v>
      </c>
      <c r="G60" s="645"/>
      <c r="H60" s="645" t="str">
        <f ca="1">IFERROR(__xludf.DUMMYFUNCTION("""COMPUTED_VALUE"""),"1 - only if GAM based on WHZ is not available (line 48)")</f>
        <v>1 - only if GAM based on WHZ is not available (line 48)</v>
      </c>
      <c r="I60" s="645" t="str">
        <f ca="1">IFERROR(__xludf.DUMMYFUNCTION("""COMPUTED_VALUE"""),"HH survey ")</f>
        <v xml:space="preserve">HH survey </v>
      </c>
      <c r="J60" s="645" t="str">
        <f ca="1">IFERROR(__xludf.DUMMYFUNCTION("""COMPUTED_VALUE"""),"SMART surveys")</f>
        <v>SMART surveys</v>
      </c>
      <c r="K60" s="646" t="str">
        <f ca="1">IFERROR(__xludf.DUMMYFUNCTION("""COMPUTED_VALUE"""),"MUAC &lt;5%: Phase 1-2; ")</f>
        <v xml:space="preserve">MUAC &lt;5%: Phase 1-2; </v>
      </c>
      <c r="L60" s="646" t="str">
        <f ca="1">IFERROR(__xludf.DUMMYFUNCTION("""COMPUTED_VALUE"""),"MUAC 5-9.9%: Phase 2-3; ")</f>
        <v xml:space="preserve">MUAC 5-9.9%: Phase 2-3; </v>
      </c>
      <c r="M60" s="646" t="str">
        <f ca="1">IFERROR(__xludf.DUMMYFUNCTION("""COMPUTED_VALUE"""),"MUAC 10-14.9: Phase 3-4; ")</f>
        <v xml:space="preserve">MUAC 10-14.9: Phase 3-4; </v>
      </c>
      <c r="N60" s="646" t="str">
        <f ca="1">IFERROR(__xludf.DUMMYFUNCTION("""COMPUTED_VALUE"""),"MUAC &gt;=15%: Phase 4-5")</f>
        <v>MUAC &gt;=15%: Phase 4-5</v>
      </c>
      <c r="O60" s="646"/>
      <c r="P60" s="645" t="str">
        <f ca="1">IFERROR(__xludf.DUMMYFUNCTION("""COMPUTED_VALUE"""),"To only use GAm based on MUAC if GAM based on WHZ is not available. Thresholds are based on IPC Acute Malnutrition and cut across multiple phases. Not sure how to present this here. ")</f>
        <v xml:space="preserve">To only use GAm based on MUAC if GAM based on WHZ is not available. Thresholds are based on IPC Acute Malnutrition and cut across multiple phases. Not sure how to present this here. </v>
      </c>
      <c r="Q60" s="372"/>
      <c r="R60" s="372"/>
      <c r="S60" s="372"/>
    </row>
    <row r="61" spans="1:19" s="259" customFormat="1" ht="12.5">
      <c r="A61" s="655">
        <f ca="1">IFERROR(__xludf.DUMMYFUNCTION("""COMPUTED_VALUE"""),52)</f>
        <v>52</v>
      </c>
      <c r="B61" s="645" t="str">
        <f ca="1">IFERROR(__xludf.DUMMYFUNCTION("""COMPUTED_VALUE"""),"Nutrition")</f>
        <v>Nutrition</v>
      </c>
      <c r="C61" s="645" t="str">
        <f ca="1">IFERROR(__xludf.DUMMYFUNCTION("""COMPUTED_VALUE"""),"GAM")</f>
        <v>GAM</v>
      </c>
      <c r="D61" s="645" t="str">
        <f ca="1">IFERROR(__xludf.DUMMYFUNCTION("""COMPUTED_VALUE"""),"Humanitarian conditions")</f>
        <v>Humanitarian conditions</v>
      </c>
      <c r="E61" s="645" t="str">
        <f ca="1">IFERROR(__xludf.DUMMYFUNCTION("""COMPUTED_VALUE"""),"Physical and Mental Wellbeing")</f>
        <v>Physical and Mental Wellbeing</v>
      </c>
      <c r="F61" s="645" t="str">
        <f ca="1">IFERROR(__xludf.DUMMYFUNCTION("""COMPUTED_VALUE"""),"Prevalence of Global Acute Malnutrition (GAM) based on Mid-Upper Arm Circumference (MUAC)&lt;210-230 (depending on the contexts) and/or bilateral oedema among Pregnant and Lactating Women (PLW)")</f>
        <v>Prevalence of Global Acute Malnutrition (GAM) based on Mid-Upper Arm Circumference (MUAC)&lt;210-230 (depending on the contexts) and/or bilateral oedema among Pregnant and Lactating Women (PLW)</v>
      </c>
      <c r="G61" s="645"/>
      <c r="H61" s="645" t="str">
        <f ca="1">IFERROR(__xludf.DUMMYFUNCTION("""COMPUTED_VALUE"""),"2 (if the above two indicators are not available in line 52 and 48)")</f>
        <v>2 (if the above two indicators are not available in line 52 and 48)</v>
      </c>
      <c r="I61" s="645" t="str">
        <f ca="1">IFERROR(__xludf.DUMMYFUNCTION("""COMPUTED_VALUE"""),"HH survey ")</f>
        <v xml:space="preserve">HH survey </v>
      </c>
      <c r="J61" s="645" t="str">
        <f ca="1">IFERROR(__xludf.DUMMYFUNCTION("""COMPUTED_VALUE"""),"SMART surveys")</f>
        <v>SMART surveys</v>
      </c>
      <c r="K61" s="646" t="str">
        <f ca="1">IFERROR(__xludf.DUMMYFUNCTION("""COMPUTED_VALUE"""),"&lt;=12.5%")</f>
        <v>&lt;=12.5%</v>
      </c>
      <c r="L61" s="646" t="str">
        <f ca="1">IFERROR(__xludf.DUMMYFUNCTION("""COMPUTED_VALUE"""),"12.6%-19.9%")</f>
        <v>12.6%-19.9%</v>
      </c>
      <c r="M61" s="646" t="str">
        <f ca="1">IFERROR(__xludf.DUMMYFUNCTION("""COMPUTED_VALUE"""),"20-24.9%")</f>
        <v>20-24.9%</v>
      </c>
      <c r="N61" s="646" t="str">
        <f ca="1">IFERROR(__xludf.DUMMYFUNCTION("""COMPUTED_VALUE"""),"25-34.9%")</f>
        <v>25-34.9%</v>
      </c>
      <c r="O61" s="646" t="str">
        <f ca="1">IFERROR(__xludf.DUMMYFUNCTION("""COMPUTED_VALUE"""),"≥35%")</f>
        <v>≥35%</v>
      </c>
      <c r="P61" s="645" t="str">
        <f ca="1">IFERROR(__xludf.DUMMYFUNCTION("""COMPUTED_VALUE"""),"Preliminary thresholds based on Somalia’s Food Security and Nutrition Analysis Unit (FSNAU)")</f>
        <v>Preliminary thresholds based on Somalia’s Food Security and Nutrition Analysis Unit (FSNAU)</v>
      </c>
      <c r="Q61" s="372"/>
      <c r="R61" s="372"/>
      <c r="S61" s="372"/>
    </row>
    <row r="62" spans="1:19" s="259" customFormat="1" ht="12.5">
      <c r="A62" s="655">
        <f ca="1">IFERROR(__xludf.DUMMYFUNCTION("""COMPUTED_VALUE"""),53)</f>
        <v>53</v>
      </c>
      <c r="B62" s="645" t="str">
        <f ca="1">IFERROR(__xludf.DUMMYFUNCTION("""COMPUTED_VALUE"""),"Nutrition")</f>
        <v>Nutrition</v>
      </c>
      <c r="C62" s="645" t="str">
        <f ca="1">IFERROR(__xludf.DUMMYFUNCTION("""COMPUTED_VALUE"""),"GAM")</f>
        <v>GAM</v>
      </c>
      <c r="D62" s="645" t="str">
        <f ca="1">IFERROR(__xludf.DUMMYFUNCTION("""COMPUTED_VALUE"""),"Humanitarian conditions")</f>
        <v>Humanitarian conditions</v>
      </c>
      <c r="E62" s="645" t="str">
        <f ca="1">IFERROR(__xludf.DUMMYFUNCTION("""COMPUTED_VALUE"""),"Physical and Mental Wellbeing")</f>
        <v>Physical and Mental Wellbeing</v>
      </c>
      <c r="F62" s="645" t="str">
        <f ca="1">IFERROR(__xludf.DUMMYFUNCTION("""COMPUTED_VALUE"""),"Prevalence of Global Acute Malnutrition (GAM) based on Mid-Upper Arm Circumference (MUAC)&lt;210mm among Older People")</f>
        <v>Prevalence of Global Acute Malnutrition (GAM) based on Mid-Upper Arm Circumference (MUAC)&lt;210mm among Older People</v>
      </c>
      <c r="G62" s="645"/>
      <c r="H62" s="647">
        <f ca="1">IFERROR(__xludf.DUMMYFUNCTION("""COMPUTED_VALUE"""),3)</f>
        <v>3</v>
      </c>
      <c r="I62" s="645" t="str">
        <f ca="1">IFERROR(__xludf.DUMMYFUNCTION("""COMPUTED_VALUE"""),"HH survey ")</f>
        <v xml:space="preserve">HH survey </v>
      </c>
      <c r="J62" s="645" t="str">
        <f ca="1">IFERROR(__xludf.DUMMYFUNCTION("""COMPUTED_VALUE"""),"SMART surveys")</f>
        <v>SMART surveys</v>
      </c>
      <c r="K62" s="646" t="str">
        <f ca="1">IFERROR(__xludf.DUMMYFUNCTION("""COMPUTED_VALUE"""),"&lt;5%")</f>
        <v>&lt;5%</v>
      </c>
      <c r="L62" s="646" t="str">
        <f ca="1">IFERROR(__xludf.DUMMYFUNCTION("""COMPUTED_VALUE"""),"5-9.9%")</f>
        <v>5-9.9%</v>
      </c>
      <c r="M62" s="646" t="str">
        <f ca="1">IFERROR(__xludf.DUMMYFUNCTION("""COMPUTED_VALUE"""),"10-14.9% OR
 5-9.9%*")</f>
        <v>10-14.9% OR
 5-9.9%*</v>
      </c>
      <c r="N62" s="646" t="str">
        <f ca="1">IFERROR(__xludf.DUMMYFUNCTION("""COMPUTED_VALUE"""),"≥15% OR
 10-14.9%*")</f>
        <v>≥15% OR
 10-14.9%*</v>
      </c>
      <c r="O62" s="646"/>
      <c r="P62" s="645" t="str">
        <f ca="1">IFERROR(__xludf.DUMMYFUNCTION("""COMPUTED_VALUE"""),"*If presence of aggravating factors which include: a general food ration below 2,100kcal per person per day; a disease outbreak (i.e cholera or malaria); inadequate safe water supplies and sanitation; inadequate shelter; war and conflict, civil strife, mi"&amp;"gration and displacement. ")</f>
        <v xml:space="preserve">*If presence of aggravating factors which include: a general food ration below 2,100kcal per person per day; a disease outbreak (i.e cholera or malaria); inadequate safe water supplies and sanitation; inadequate shelter; war and conflict, civil strife, migration and displacement. </v>
      </c>
      <c r="Q62" s="372"/>
      <c r="R62" s="372"/>
      <c r="S62" s="372"/>
    </row>
    <row r="63" spans="1:19" s="259" customFormat="1" ht="12.5">
      <c r="A63" s="655">
        <f ca="1">IFERROR(__xludf.DUMMYFUNCTION("""COMPUTED_VALUE"""),54)</f>
        <v>54</v>
      </c>
      <c r="B63" s="645" t="str">
        <f ca="1">IFERROR(__xludf.DUMMYFUNCTION("""COMPUTED_VALUE"""),"Nutrition")</f>
        <v>Nutrition</v>
      </c>
      <c r="C63" s="645" t="str">
        <f ca="1">IFERROR(__xludf.DUMMYFUNCTION("""COMPUTED_VALUE"""),"GAM")</f>
        <v>GAM</v>
      </c>
      <c r="D63" s="646" t="str">
        <f ca="1">IFERROR(__xludf.DUMMYFUNCTION("""COMPUTED_VALUE"""),"Humanitarian conditions")</f>
        <v>Humanitarian conditions</v>
      </c>
      <c r="E63" s="646" t="str">
        <f ca="1">IFERROR(__xludf.DUMMYFUNCTION("""COMPUTED_VALUE"""),"Physical and Mental Wellbeing")</f>
        <v>Physical and Mental Wellbeing</v>
      </c>
      <c r="F63" s="646" t="str">
        <f ca="1">IFERROR(__xludf.DUMMYFUNCTION("""COMPUTED_VALUE"""),"Prevalence of Global Acute Malnutrition (GAM) based on weight for height Z-score (WHZ)&lt;-2 and/or bilateral oedema among children 0-59 months")</f>
        <v>Prevalence of Global Acute Malnutrition (GAM) based on weight for height Z-score (WHZ)&lt;-2 and/or bilateral oedema among children 0-59 months</v>
      </c>
      <c r="G63" s="645"/>
      <c r="H63" s="647">
        <f ca="1">IFERROR(__xludf.DUMMYFUNCTION("""COMPUTED_VALUE"""),1)</f>
        <v>1</v>
      </c>
      <c r="I63" s="645" t="str">
        <f ca="1">IFERROR(__xludf.DUMMYFUNCTION("""COMPUTED_VALUE"""),"HH survey ")</f>
        <v xml:space="preserve">HH survey </v>
      </c>
      <c r="J63" s="645" t="str">
        <f ca="1">IFERROR(__xludf.DUMMYFUNCTION("""COMPUTED_VALUE"""),"SMART surveys")</f>
        <v>SMART surveys</v>
      </c>
      <c r="K63" s="646" t="str">
        <f ca="1">IFERROR(__xludf.DUMMYFUNCTION("""COMPUTED_VALUE"""),"&lt;5%")</f>
        <v>&lt;5%</v>
      </c>
      <c r="L63" s="646" t="str">
        <f ca="1">IFERROR(__xludf.DUMMYFUNCTION("""COMPUTED_VALUE"""),"5-9.9%")</f>
        <v>5-9.9%</v>
      </c>
      <c r="M63" s="646" t="str">
        <f ca="1">IFERROR(__xludf.DUMMYFUNCTION("""COMPUTED_VALUE"""),"10-14.9%")</f>
        <v>10-14.9%</v>
      </c>
      <c r="N63" s="646" t="str">
        <f ca="1">IFERROR(__xludf.DUMMYFUNCTION("""COMPUTED_VALUE"""),"15-29.9%")</f>
        <v>15-29.9%</v>
      </c>
      <c r="O63" s="646" t="str">
        <f ca="1">IFERROR(__xludf.DUMMYFUNCTION("""COMPUTED_VALUE"""),"≥30%")</f>
        <v>≥30%</v>
      </c>
      <c r="P63" s="645"/>
      <c r="Q63" s="372"/>
      <c r="R63" s="372"/>
      <c r="S63" s="372"/>
    </row>
    <row r="64" spans="1:19" s="259" customFormat="1" ht="12.5">
      <c r="A64" s="655">
        <f ca="1">IFERROR(__xludf.DUMMYFUNCTION("""COMPUTED_VALUE"""),55)</f>
        <v>55</v>
      </c>
      <c r="B64" s="645" t="str">
        <f ca="1">IFERROR(__xludf.DUMMYFUNCTION("""COMPUTED_VALUE"""),"Nutrition")</f>
        <v>Nutrition</v>
      </c>
      <c r="C64" s="645" t="str">
        <f ca="1">IFERROR(__xludf.DUMMYFUNCTION("""COMPUTED_VALUE"""),"Micronutrient deficiency")</f>
        <v>Micronutrient deficiency</v>
      </c>
      <c r="D64" s="646" t="str">
        <f ca="1">IFERROR(__xludf.DUMMYFUNCTION("""COMPUTED_VALUE"""),"Humanitarian conditions")</f>
        <v>Humanitarian conditions</v>
      </c>
      <c r="E64" s="646" t="str">
        <f ca="1">IFERROR(__xludf.DUMMYFUNCTION("""COMPUTED_VALUE"""),"Physical and Mental Wellbeing")</f>
        <v>Physical and Mental Wellbeing</v>
      </c>
      <c r="F64" s="646" t="str">
        <f ca="1">IFERROR(__xludf.DUMMYFUNCTION("""COMPUTED_VALUE"""),"Prevalence of anemia Hb &lt;11g/dl in children 6 - 59 months")</f>
        <v>Prevalence of anemia Hb &lt;11g/dl in children 6 - 59 months</v>
      </c>
      <c r="G64" s="645"/>
      <c r="H64" s="647">
        <f ca="1">IFERROR(__xludf.DUMMYFUNCTION("""COMPUTED_VALUE"""),2)</f>
        <v>2</v>
      </c>
      <c r="I64" s="645" t="str">
        <f ca="1">IFERROR(__xludf.DUMMYFUNCTION("""COMPUTED_VALUE"""),"HH survey ")</f>
        <v xml:space="preserve">HH survey </v>
      </c>
      <c r="J64" s="645" t="str">
        <f ca="1">IFERROR(__xludf.DUMMYFUNCTION("""COMPUTED_VALUE"""),"SMART surveys")</f>
        <v>SMART surveys</v>
      </c>
      <c r="K64" s="646" t="str">
        <f ca="1">IFERROR(__xludf.DUMMYFUNCTION("""COMPUTED_VALUE"""),"&lt;5%")</f>
        <v>&lt;5%</v>
      </c>
      <c r="L64" s="646" t="str">
        <f ca="1">IFERROR(__xludf.DUMMYFUNCTION("""COMPUTED_VALUE"""),"5-19.9%")</f>
        <v>5-19.9%</v>
      </c>
      <c r="M64" s="646" t="str">
        <f ca="1">IFERROR(__xludf.DUMMYFUNCTION("""COMPUTED_VALUE"""),"20-39.9%")</f>
        <v>20-39.9%</v>
      </c>
      <c r="N64" s="646" t="str">
        <f ca="1">IFERROR(__xludf.DUMMYFUNCTION("""COMPUTED_VALUE"""),"≥40%")</f>
        <v>≥40%</v>
      </c>
      <c r="O64" s="646"/>
      <c r="P64" s="645" t="str">
        <f ca="1">IFERROR(__xludf.DUMMYFUNCTION("""COMPUTED_VALUE"""),"Note that the threholds are not 5-points in nature")</f>
        <v>Note that the threholds are not 5-points in nature</v>
      </c>
      <c r="Q64" s="372"/>
      <c r="R64" s="372"/>
      <c r="S64" s="372"/>
    </row>
    <row r="65" spans="1:19" s="259" customFormat="1" ht="12.5">
      <c r="A65" s="655">
        <f ca="1">IFERROR(__xludf.DUMMYFUNCTION("""COMPUTED_VALUE"""),56)</f>
        <v>56</v>
      </c>
      <c r="B65" s="645" t="str">
        <f ca="1">IFERROR(__xludf.DUMMYFUNCTION("""COMPUTED_VALUE"""),"Nutrition")</f>
        <v>Nutrition</v>
      </c>
      <c r="C65" s="645" t="str">
        <f ca="1">IFERROR(__xludf.DUMMYFUNCTION("""COMPUTED_VALUE"""),"Micronutrient deficiency")</f>
        <v>Micronutrient deficiency</v>
      </c>
      <c r="D65" s="646" t="str">
        <f ca="1">IFERROR(__xludf.DUMMYFUNCTION("""COMPUTED_VALUE"""),"Humanitarian conditions")</f>
        <v>Humanitarian conditions</v>
      </c>
      <c r="E65" s="646" t="str">
        <f ca="1">IFERROR(__xludf.DUMMYFUNCTION("""COMPUTED_VALUE"""),"Physical and Mental Wellbeing")</f>
        <v>Physical and Mental Wellbeing</v>
      </c>
      <c r="F65" s="646" t="str">
        <f ca="1">IFERROR(__xludf.DUMMYFUNCTION("""COMPUTED_VALUE"""),"Prevalence of anemia Hb &lt;11g/dl in pregnant lactating women")</f>
        <v>Prevalence of anemia Hb &lt;11g/dl in pregnant lactating women</v>
      </c>
      <c r="G65" s="645"/>
      <c r="H65" s="647">
        <f ca="1">IFERROR(__xludf.DUMMYFUNCTION("""COMPUTED_VALUE"""),2)</f>
        <v>2</v>
      </c>
      <c r="I65" s="645" t="str">
        <f ca="1">IFERROR(__xludf.DUMMYFUNCTION("""COMPUTED_VALUE"""),"HH survey ")</f>
        <v xml:space="preserve">HH survey </v>
      </c>
      <c r="J65" s="645" t="str">
        <f ca="1">IFERROR(__xludf.DUMMYFUNCTION("""COMPUTED_VALUE"""),"SMART surveys")</f>
        <v>SMART surveys</v>
      </c>
      <c r="K65" s="646" t="str">
        <f ca="1">IFERROR(__xludf.DUMMYFUNCTION("""COMPUTED_VALUE"""),"&lt;5%")</f>
        <v>&lt;5%</v>
      </c>
      <c r="L65" s="646" t="str">
        <f ca="1">IFERROR(__xludf.DUMMYFUNCTION("""COMPUTED_VALUE"""),"5-19.9%")</f>
        <v>5-19.9%</v>
      </c>
      <c r="M65" s="646" t="str">
        <f ca="1">IFERROR(__xludf.DUMMYFUNCTION("""COMPUTED_VALUE"""),"20-39.9%")</f>
        <v>20-39.9%</v>
      </c>
      <c r="N65" s="646" t="str">
        <f ca="1">IFERROR(__xludf.DUMMYFUNCTION("""COMPUTED_VALUE"""),"≥40%")</f>
        <v>≥40%</v>
      </c>
      <c r="O65" s="646"/>
      <c r="P65" s="645" t="str">
        <f ca="1">IFERROR(__xludf.DUMMYFUNCTION("""COMPUTED_VALUE"""),"Note that the threholds are not 5-points in nature")</f>
        <v>Note that the threholds are not 5-points in nature</v>
      </c>
      <c r="Q65" s="372"/>
      <c r="R65" s="372"/>
      <c r="S65" s="372"/>
    </row>
    <row r="66" spans="1:19" s="259" customFormat="1" ht="12.5">
      <c r="A66" s="655">
        <f ca="1">IFERROR(__xludf.DUMMYFUNCTION("""COMPUTED_VALUE"""),57)</f>
        <v>57</v>
      </c>
      <c r="B66" s="645" t="str">
        <f ca="1">IFERROR(__xludf.DUMMYFUNCTION("""COMPUTED_VALUE"""),"Nutrition")</f>
        <v>Nutrition</v>
      </c>
      <c r="C66" s="645" t="str">
        <f ca="1">IFERROR(__xludf.DUMMYFUNCTION("""COMPUTED_VALUE"""),"Mortality")</f>
        <v>Mortality</v>
      </c>
      <c r="D66" s="645" t="str">
        <f ca="1">IFERROR(__xludf.DUMMYFUNCTION("""COMPUTED_VALUE"""),"Humanitarian conditions")</f>
        <v>Humanitarian conditions</v>
      </c>
      <c r="E66" s="645" t="str">
        <f ca="1">IFERROR(__xludf.DUMMYFUNCTION("""COMPUTED_VALUE"""),"Physical and Mental Wellbeing")</f>
        <v>Physical and Mental Wellbeing</v>
      </c>
      <c r="F66" s="645" t="str">
        <f ca="1">IFERROR(__xludf.DUMMYFUNCTION("""COMPUTED_VALUE"""),"Crude Death/Mortality Rate (deaths/ 10,000 persons/ day)")</f>
        <v>Crude Death/Mortality Rate (deaths/ 10,000 persons/ day)</v>
      </c>
      <c r="G66" s="645"/>
      <c r="H66" s="645"/>
      <c r="I66" s="645" t="str">
        <f ca="1">IFERROR(__xludf.DUMMYFUNCTION("""COMPUTED_VALUE"""),"HH survey")</f>
        <v>HH survey</v>
      </c>
      <c r="J66" s="645" t="str">
        <f ca="1">IFERROR(__xludf.DUMMYFUNCTION("""COMPUTED_VALUE"""),"SMART surveys")</f>
        <v>SMART surveys</v>
      </c>
      <c r="K66" s="646"/>
      <c r="L66" s="646" t="str">
        <f ca="1">IFERROR(__xludf.DUMMYFUNCTION("""COMPUTED_VALUE"""),"&lt;0.5")</f>
        <v>&lt;0.5</v>
      </c>
      <c r="M66" s="646" t="str">
        <f ca="1">IFERROR(__xludf.DUMMYFUNCTION("""COMPUTED_VALUE"""),"0.5-0.9")</f>
        <v>0.5-0.9</v>
      </c>
      <c r="N66" s="646" t="str">
        <f ca="1">IFERROR(__xludf.DUMMYFUNCTION("""COMPUTED_VALUE"""),"1-1.9")</f>
        <v>1-1.9</v>
      </c>
      <c r="O66" s="646" t="str">
        <f ca="1">IFERROR(__xludf.DUMMYFUNCTION("""COMPUTED_VALUE"""),"≥2")</f>
        <v>≥2</v>
      </c>
      <c r="P66" s="645" t="str">
        <f ca="1">IFERROR(__xludf.DUMMYFUNCTION("""COMPUTED_VALUE"""),"Note that the threholds are not 5-points in nature")</f>
        <v>Note that the threholds are not 5-points in nature</v>
      </c>
      <c r="Q66" s="372"/>
      <c r="R66" s="372"/>
      <c r="S66" s="372"/>
    </row>
    <row r="67" spans="1:19" s="259" customFormat="1" ht="12.5">
      <c r="A67" s="655">
        <f ca="1">IFERROR(__xludf.DUMMYFUNCTION("""COMPUTED_VALUE"""),58)</f>
        <v>58</v>
      </c>
      <c r="B67" s="645" t="str">
        <f ca="1">IFERROR(__xludf.DUMMYFUNCTION("""COMPUTED_VALUE"""),"Nutrition")</f>
        <v>Nutrition</v>
      </c>
      <c r="C67" s="645" t="str">
        <f ca="1">IFERROR(__xludf.DUMMYFUNCTION("""COMPUTED_VALUE"""),"Mortality")</f>
        <v>Mortality</v>
      </c>
      <c r="D67" s="645" t="str">
        <f ca="1">IFERROR(__xludf.DUMMYFUNCTION("""COMPUTED_VALUE"""),"Humanitarian conditions")</f>
        <v>Humanitarian conditions</v>
      </c>
      <c r="E67" s="645" t="str">
        <f ca="1">IFERROR(__xludf.DUMMYFUNCTION("""COMPUTED_VALUE"""),"Physical and Mental Wellbeing")</f>
        <v>Physical and Mental Wellbeing</v>
      </c>
      <c r="F67" s="645" t="str">
        <f ca="1">IFERROR(__xludf.DUMMYFUNCTION("""COMPUTED_VALUE"""),"Under-five Death/Mortality Rate (deaths/ 10,000 children U5/ day)")</f>
        <v>Under-five Death/Mortality Rate (deaths/ 10,000 children U5/ day)</v>
      </c>
      <c r="G67" s="645"/>
      <c r="H67" s="645"/>
      <c r="I67" s="645" t="str">
        <f ca="1">IFERROR(__xludf.DUMMYFUNCTION("""COMPUTED_VALUE"""),"HH survey")</f>
        <v>HH survey</v>
      </c>
      <c r="J67" s="645" t="str">
        <f ca="1">IFERROR(__xludf.DUMMYFUNCTION("""COMPUTED_VALUE"""),"SMART surveys")</f>
        <v>SMART surveys</v>
      </c>
      <c r="K67" s="646"/>
      <c r="L67" s="646" t="str">
        <f ca="1">IFERROR(__xludf.DUMMYFUNCTION("""COMPUTED_VALUE"""),"&lt;1")</f>
        <v>&lt;1</v>
      </c>
      <c r="M67" s="646" t="str">
        <f ca="1">IFERROR(__xludf.DUMMYFUNCTION("""COMPUTED_VALUE"""),"1-1.9")</f>
        <v>1-1.9</v>
      </c>
      <c r="N67" s="646" t="str">
        <f ca="1">IFERROR(__xludf.DUMMYFUNCTION("""COMPUTED_VALUE"""),"2-3.9")</f>
        <v>2-3.9</v>
      </c>
      <c r="O67" s="646" t="str">
        <f ca="1">IFERROR(__xludf.DUMMYFUNCTION("""COMPUTED_VALUE"""),"≥4")</f>
        <v>≥4</v>
      </c>
      <c r="P67" s="645" t="str">
        <f ca="1">IFERROR(__xludf.DUMMYFUNCTION("""COMPUTED_VALUE"""),"Note that the threholds are not 5-points in nature")</f>
        <v>Note that the threholds are not 5-points in nature</v>
      </c>
      <c r="Q67" s="372"/>
      <c r="R67" s="372"/>
      <c r="S67" s="372"/>
    </row>
    <row r="68" spans="1:19" s="259" customFormat="1" ht="12.5">
      <c r="A68" s="655">
        <f ca="1">IFERROR(__xludf.DUMMYFUNCTION("""COMPUTED_VALUE"""),59)</f>
        <v>59</v>
      </c>
      <c r="B68" s="645" t="str">
        <f ca="1">IFERROR(__xludf.DUMMYFUNCTION("""COMPUTED_VALUE"""),"Nutrition")</f>
        <v>Nutrition</v>
      </c>
      <c r="C68" s="645" t="str">
        <f ca="1">IFERROR(__xludf.DUMMYFUNCTION("""COMPUTED_VALUE"""),"Overweight")</f>
        <v>Overweight</v>
      </c>
      <c r="D68" s="645" t="str">
        <f ca="1">IFERROR(__xludf.DUMMYFUNCTION("""COMPUTED_VALUE"""),"Humanitarian conditions")</f>
        <v>Humanitarian conditions</v>
      </c>
      <c r="E68" s="645" t="str">
        <f ca="1">IFERROR(__xludf.DUMMYFUNCTION("""COMPUTED_VALUE"""),"Physical and Mental Wellbeing")</f>
        <v>Physical and Mental Wellbeing</v>
      </c>
      <c r="F68" s="645" t="str">
        <f ca="1">IFERROR(__xludf.DUMMYFUNCTION("""COMPUTED_VALUE"""),"Prevalence of overweight based on weight for height Z-score (WHZ)&gt;2 among children 0-59 months")</f>
        <v>Prevalence of overweight based on weight for height Z-score (WHZ)&gt;2 among children 0-59 months</v>
      </c>
      <c r="G68" s="645"/>
      <c r="H68" s="645" t="str">
        <f ca="1">IFERROR(__xludf.DUMMYFUNCTION("""COMPUTED_VALUE"""),"1 in certain contexts")</f>
        <v>1 in certain contexts</v>
      </c>
      <c r="I68" s="645" t="str">
        <f ca="1">IFERROR(__xludf.DUMMYFUNCTION("""COMPUTED_VALUE"""),"HH survey ")</f>
        <v xml:space="preserve">HH survey </v>
      </c>
      <c r="J68" s="645" t="str">
        <f ca="1">IFERROR(__xludf.DUMMYFUNCTION("""COMPUTED_VALUE"""),"SMART surveys")</f>
        <v>SMART surveys</v>
      </c>
      <c r="K68" s="646" t="str">
        <f ca="1">IFERROR(__xludf.DUMMYFUNCTION("""COMPUTED_VALUE"""),"&lt;2.5%")</f>
        <v>&lt;2.5%</v>
      </c>
      <c r="L68" s="646" t="str">
        <f ca="1">IFERROR(__xludf.DUMMYFUNCTION("""COMPUTED_VALUE"""),"2.5-4.9%")</f>
        <v>2.5-4.9%</v>
      </c>
      <c r="M68" s="646" t="str">
        <f ca="1">IFERROR(__xludf.DUMMYFUNCTION("""COMPUTED_VALUE"""),"5-9.9%")</f>
        <v>5-9.9%</v>
      </c>
      <c r="N68" s="646" t="str">
        <f ca="1">IFERROR(__xludf.DUMMYFUNCTION("""COMPUTED_VALUE"""),"10-14.9%")</f>
        <v>10-14.9%</v>
      </c>
      <c r="O68" s="646" t="str">
        <f ca="1">IFERROR(__xludf.DUMMYFUNCTION("""COMPUTED_VALUE"""),"≥15%")</f>
        <v>≥15%</v>
      </c>
      <c r="P68" s="645" t="str">
        <f ca="1">IFERROR(__xludf.DUMMYFUNCTION("""COMPUTED_VALUE"""),"Physical and Mental Well-being if GAM is &lt;5%. If not, move to Living Standards")</f>
        <v>Physical and Mental Well-being if GAM is &lt;5%. If not, move to Living Standards</v>
      </c>
      <c r="Q68" s="372"/>
      <c r="R68" s="372"/>
      <c r="S68" s="372"/>
    </row>
    <row r="69" spans="1:19" s="259" customFormat="1" ht="12.5">
      <c r="A69" s="655">
        <f ca="1">IFERROR(__xludf.DUMMYFUNCTION("""COMPUTED_VALUE"""),60)</f>
        <v>60</v>
      </c>
      <c r="B69" s="645" t="str">
        <f ca="1">IFERROR(__xludf.DUMMYFUNCTION("""COMPUTED_VALUE"""),"Nutrition")</f>
        <v>Nutrition</v>
      </c>
      <c r="C69" s="645" t="str">
        <f ca="1">IFERROR(__xludf.DUMMYFUNCTION("""COMPUTED_VALUE"""),"Stunting")</f>
        <v>Stunting</v>
      </c>
      <c r="D69" s="645" t="str">
        <f ca="1">IFERROR(__xludf.DUMMYFUNCTION("""COMPUTED_VALUE"""),"Humanitarian conditions")</f>
        <v>Humanitarian conditions</v>
      </c>
      <c r="E69" s="645" t="str">
        <f ca="1">IFERROR(__xludf.DUMMYFUNCTION("""COMPUTED_VALUE"""),"Physical and Mental Wellbeing")</f>
        <v>Physical and Mental Wellbeing</v>
      </c>
      <c r="F69" s="645" t="str">
        <f ca="1">IFERROR(__xludf.DUMMYFUNCTION("""COMPUTED_VALUE"""),"Prevalence of stunting based on height-for-age Z-score (HAZ)&lt;-2 among children 0-59 months")</f>
        <v>Prevalence of stunting based on height-for-age Z-score (HAZ)&lt;-2 among children 0-59 months</v>
      </c>
      <c r="G69" s="645"/>
      <c r="H69" s="645" t="str">
        <f ca="1">IFERROR(__xludf.DUMMYFUNCTION("""COMPUTED_VALUE"""),"1 if for Living Standards")</f>
        <v>1 if for Living Standards</v>
      </c>
      <c r="I69" s="645" t="str">
        <f ca="1">IFERROR(__xludf.DUMMYFUNCTION("""COMPUTED_VALUE"""),"HH survey ")</f>
        <v xml:space="preserve">HH survey </v>
      </c>
      <c r="J69" s="645" t="str">
        <f ca="1">IFERROR(__xludf.DUMMYFUNCTION("""COMPUTED_VALUE"""),"SMART surveys")</f>
        <v>SMART surveys</v>
      </c>
      <c r="K69" s="646" t="str">
        <f ca="1">IFERROR(__xludf.DUMMYFUNCTION("""COMPUTED_VALUE"""),"&lt;10%")</f>
        <v>&lt;10%</v>
      </c>
      <c r="L69" s="646" t="str">
        <f ca="1">IFERROR(__xludf.DUMMYFUNCTION("""COMPUTED_VALUE"""),"10-19.9%")</f>
        <v>10-19.9%</v>
      </c>
      <c r="M69" s="646" t="str">
        <f ca="1">IFERROR(__xludf.DUMMYFUNCTION("""COMPUTED_VALUE"""),"20-29.9%")</f>
        <v>20-29.9%</v>
      </c>
      <c r="N69" s="646" t="str">
        <f ca="1">IFERROR(__xludf.DUMMYFUNCTION("""COMPUTED_VALUE"""),"≥30%")</f>
        <v>≥30%</v>
      </c>
      <c r="O69" s="646"/>
      <c r="P69" s="645" t="str">
        <f ca="1">IFERROR(__xludf.DUMMYFUNCTION("""COMPUTED_VALUE"""),"Physical and Mental Well-being if GAM is &lt;5%. If not, then move to Living Standards")</f>
        <v>Physical and Mental Well-being if GAM is &lt;5%. If not, then move to Living Standards</v>
      </c>
      <c r="Q69" s="372"/>
      <c r="R69" s="372"/>
      <c r="S69" s="372"/>
    </row>
    <row r="70" spans="1:19" s="259" customFormat="1" ht="12.5">
      <c r="A70" s="655">
        <f ca="1">IFERROR(__xludf.DUMMYFUNCTION("""COMPUTED_VALUE"""),61)</f>
        <v>61</v>
      </c>
      <c r="B70" s="648" t="str">
        <f ca="1">IFERROR(__xludf.DUMMYFUNCTION("""COMPUTED_VALUE"""),"Protection")</f>
        <v>Protection</v>
      </c>
      <c r="C70" s="648" t="str">
        <f ca="1">IFERROR(__xludf.DUMMYFUNCTION("""COMPUTED_VALUE"""),"CP")</f>
        <v>CP</v>
      </c>
      <c r="D70" s="648" t="str">
        <f ca="1">IFERROR(__xludf.DUMMYFUNCTION("""COMPUTED_VALUE"""),"Humanitarian Conditions")</f>
        <v>Humanitarian Conditions</v>
      </c>
      <c r="E70" s="648" t="str">
        <f ca="1">IFERROR(__xludf.DUMMYFUNCTION("""COMPUTED_VALUE"""),"Living Standards")</f>
        <v>Living Standards</v>
      </c>
      <c r="F70" s="648" t="str">
        <f ca="1">IFERROR(__xludf.DUMMYFUNCTION("""COMPUTED_VALUE"""),"% of girls / boys not regularly attending school")</f>
        <v>% of girls / boys not regularly attending school</v>
      </c>
      <c r="G70" s="648"/>
      <c r="H70" s="648"/>
      <c r="I70" s="648" t="str">
        <f ca="1">IFERROR(__xludf.DUMMYFUNCTION("""COMPUTED_VALUE"""),"HH survey / KI")</f>
        <v>HH survey / KI</v>
      </c>
      <c r="J70" s="648" t="str">
        <f ca="1">IFERROR(__xludf.DUMMYFUNCTION("""COMPUTED_VALUE"""),"MSNA / EMIS or school database / EiE assessment")</f>
        <v>MSNA / EMIS or school database / EiE assessment</v>
      </c>
      <c r="K70" s="648"/>
      <c r="L70" s="648"/>
      <c r="M70" s="648"/>
      <c r="N70" s="648"/>
      <c r="O70" s="648"/>
      <c r="P70" s="648"/>
      <c r="Q70" s="372"/>
      <c r="R70" s="372"/>
      <c r="S70" s="372"/>
    </row>
    <row r="71" spans="1:19" s="259" customFormat="1" ht="12.5">
      <c r="A71" s="655">
        <f ca="1">IFERROR(__xludf.DUMMYFUNCTION("""COMPUTED_VALUE"""),62)</f>
        <v>62</v>
      </c>
      <c r="B71" s="648" t="str">
        <f ca="1">IFERROR(__xludf.DUMMYFUNCTION("""COMPUTED_VALUE"""),"Protection")</f>
        <v>Protection</v>
      </c>
      <c r="C71" s="648" t="str">
        <f ca="1">IFERROR(__xludf.DUMMYFUNCTION("""COMPUTED_VALUE"""),"CP")</f>
        <v>CP</v>
      </c>
      <c r="D71" s="648" t="str">
        <f ca="1">IFERROR(__xludf.DUMMYFUNCTION("""COMPUTED_VALUE"""),"Humanitarian Conditions")</f>
        <v>Humanitarian Conditions</v>
      </c>
      <c r="E71" s="648" t="str">
        <f ca="1">IFERROR(__xludf.DUMMYFUNCTION("""COMPUTED_VALUE"""),"Living Standards")</f>
        <v>Living Standards</v>
      </c>
      <c r="F71" s="648" t="str">
        <f ca="1">IFERROR(__xludf.DUMMYFUNCTION("""COMPUTED_VALUE"""),"% of girls / boys without access to core CP services")</f>
        <v>% of girls / boys without access to core CP services</v>
      </c>
      <c r="G71" s="648"/>
      <c r="H71" s="649">
        <f ca="1">IFERROR(__xludf.DUMMYFUNCTION("""COMPUTED_VALUE"""),1)</f>
        <v>1</v>
      </c>
      <c r="I71" s="648" t="str">
        <f ca="1">IFERROR(__xludf.DUMMYFUNCTION("""COMPUTED_VALUE"""),"KI")</f>
        <v>KI</v>
      </c>
      <c r="J71" s="648" t="str">
        <f ca="1">IFERROR(__xludf.DUMMYFUNCTION("""COMPUTED_VALUE"""),"Protection Monitoring / Service mapping")</f>
        <v>Protection Monitoring / Service mapping</v>
      </c>
      <c r="K71" s="649">
        <f ca="1">IFERROR(__xludf.DUMMYFUNCTION("""COMPUTED_VALUE"""),0)</f>
        <v>0</v>
      </c>
      <c r="L71" s="648" t="str">
        <f ca="1">IFERROR(__xludf.DUMMYFUNCTION("""COMPUTED_VALUE"""),"0-5%")</f>
        <v>0-5%</v>
      </c>
      <c r="M71" s="648" t="str">
        <f ca="1">IFERROR(__xludf.DUMMYFUNCTION("""COMPUTED_VALUE"""),"6-10%")</f>
        <v>6-10%</v>
      </c>
      <c r="N71" s="648" t="str">
        <f ca="1">IFERROR(__xludf.DUMMYFUNCTION("""COMPUTED_VALUE"""),"10-13%")</f>
        <v>10-13%</v>
      </c>
      <c r="O71" s="648" t="str">
        <f ca="1">IFERROR(__xludf.DUMMYFUNCTION("""COMPUTED_VALUE"""),"13% +")</f>
        <v>13% +</v>
      </c>
      <c r="P71" s="648"/>
      <c r="Q71" s="372"/>
      <c r="R71" s="372"/>
      <c r="S71" s="372"/>
    </row>
    <row r="72" spans="1:19" s="259" customFormat="1" ht="12.5">
      <c r="A72" s="655">
        <f ca="1">IFERROR(__xludf.DUMMYFUNCTION("""COMPUTED_VALUE"""),63)</f>
        <v>63</v>
      </c>
      <c r="B72" s="648" t="str">
        <f ca="1">IFERROR(__xludf.DUMMYFUNCTION("""COMPUTED_VALUE"""),"Protection")</f>
        <v>Protection</v>
      </c>
      <c r="C72" s="648" t="str">
        <f ca="1">IFERROR(__xludf.DUMMYFUNCTION("""COMPUTED_VALUE"""),"CP")</f>
        <v>CP</v>
      </c>
      <c r="D72" s="648" t="str">
        <f ca="1">IFERROR(__xludf.DUMMYFUNCTION("""COMPUTED_VALUE"""),"Humanitarian Conditions")</f>
        <v>Humanitarian Conditions</v>
      </c>
      <c r="E72" s="648" t="str">
        <f ca="1">IFERROR(__xludf.DUMMYFUNCTION("""COMPUTED_VALUE"""),"Living Standards")</f>
        <v>Living Standards</v>
      </c>
      <c r="F72" s="648" t="str">
        <f ca="1">IFERROR(__xludf.DUMMYFUNCTION("""COMPUTED_VALUE"""),"% of HHs with knowledge on available core CP services")</f>
        <v>% of HHs with knowledge on available core CP services</v>
      </c>
      <c r="G72" s="648"/>
      <c r="H72" s="649">
        <f ca="1">IFERROR(__xludf.DUMMYFUNCTION("""COMPUTED_VALUE"""),2)</f>
        <v>2</v>
      </c>
      <c r="I72" s="648" t="str">
        <f ca="1">IFERROR(__xludf.DUMMYFUNCTION("""COMPUTED_VALUE"""),"HH Survey")</f>
        <v>HH Survey</v>
      </c>
      <c r="J72" s="648" t="str">
        <f ca="1">IFERROR(__xludf.DUMMYFUNCTION("""COMPUTED_VALUE"""),"MSNA / Protection Monitoring")</f>
        <v>MSNA / Protection Monitoring</v>
      </c>
      <c r="K72" s="649">
        <f ca="1">IFERROR(__xludf.DUMMYFUNCTION("""COMPUTED_VALUE"""),0)</f>
        <v>0</v>
      </c>
      <c r="L72" s="648" t="str">
        <f ca="1">IFERROR(__xludf.DUMMYFUNCTION("""COMPUTED_VALUE"""),"0-5%")</f>
        <v>0-5%</v>
      </c>
      <c r="M72" s="648" t="str">
        <f ca="1">IFERROR(__xludf.DUMMYFUNCTION("""COMPUTED_VALUE"""),"6-10%")</f>
        <v>6-10%</v>
      </c>
      <c r="N72" s="648" t="str">
        <f ca="1">IFERROR(__xludf.DUMMYFUNCTION("""COMPUTED_VALUE"""),"10-13%")</f>
        <v>10-13%</v>
      </c>
      <c r="O72" s="648" t="str">
        <f ca="1">IFERROR(__xludf.DUMMYFUNCTION("""COMPUTED_VALUE"""),"13% +")</f>
        <v>13% +</v>
      </c>
      <c r="P72" s="648"/>
      <c r="Q72" s="372"/>
      <c r="R72" s="372"/>
      <c r="S72" s="372"/>
    </row>
    <row r="73" spans="1:19" s="259" customFormat="1" ht="12.5">
      <c r="A73" s="655">
        <f ca="1">IFERROR(__xludf.DUMMYFUNCTION("""COMPUTED_VALUE"""),64)</f>
        <v>64</v>
      </c>
      <c r="B73" s="648" t="str">
        <f ca="1">IFERROR(__xludf.DUMMYFUNCTION("""COMPUTED_VALUE"""),"Protection")</f>
        <v>Protection</v>
      </c>
      <c r="C73" s="648" t="str">
        <f ca="1">IFERROR(__xludf.DUMMYFUNCTION("""COMPUTED_VALUE"""),"CP")</f>
        <v>CP</v>
      </c>
      <c r="D73" s="648" t="str">
        <f ca="1">IFERROR(__xludf.DUMMYFUNCTION("""COMPUTED_VALUE"""),"Humanitarian Conditions")</f>
        <v>Humanitarian Conditions</v>
      </c>
      <c r="E73" s="648" t="str">
        <f ca="1">IFERROR(__xludf.DUMMYFUNCTION("""COMPUTED_VALUE"""),"Physical and Mental Wellbeing")</f>
        <v>Physical and Mental Wellbeing</v>
      </c>
      <c r="F73" s="648" t="str">
        <f ca="1">IFERROR(__xludf.DUMMYFUNCTION("""COMPUTED_VALUE"""),"% of girls / boys engaged in hazardours child labour")</f>
        <v>% of girls / boys engaged in hazardours child labour</v>
      </c>
      <c r="G73" s="648"/>
      <c r="H73" s="649">
        <f ca="1">IFERROR(__xludf.DUMMYFUNCTION("""COMPUTED_VALUE"""),1)</f>
        <v>1</v>
      </c>
      <c r="I73" s="648" t="str">
        <f ca="1">IFERROR(__xludf.DUMMYFUNCTION("""COMPUTED_VALUE"""),"HH Survey / KI")</f>
        <v>HH Survey / KI</v>
      </c>
      <c r="J73" s="648" t="str">
        <f ca="1">IFERROR(__xludf.DUMMYFUNCTION("""COMPUTED_VALUE"""),"MSNA / MoSA / MoL / UNICEF")</f>
        <v>MSNA / MoSA / MoL / UNICEF</v>
      </c>
      <c r="K73" s="649">
        <f ca="1">IFERROR(__xludf.DUMMYFUNCTION("""COMPUTED_VALUE"""),0)</f>
        <v>0</v>
      </c>
      <c r="L73" s="648" t="str">
        <f ca="1">IFERROR(__xludf.DUMMYFUNCTION("""COMPUTED_VALUE"""),"0-5%")</f>
        <v>0-5%</v>
      </c>
      <c r="M73" s="648" t="str">
        <f ca="1">IFERROR(__xludf.DUMMYFUNCTION("""COMPUTED_VALUE"""),"6-10%")</f>
        <v>6-10%</v>
      </c>
      <c r="N73" s="648" t="str">
        <f ca="1">IFERROR(__xludf.DUMMYFUNCTION("""COMPUTED_VALUE"""),"10-13%")</f>
        <v>10-13%</v>
      </c>
      <c r="O73" s="648" t="str">
        <f ca="1">IFERROR(__xludf.DUMMYFUNCTION("""COMPUTED_VALUE"""),"13% +")</f>
        <v>13% +</v>
      </c>
      <c r="P73" s="648"/>
      <c r="Q73" s="372"/>
      <c r="R73" s="372"/>
      <c r="S73" s="372"/>
    </row>
    <row r="74" spans="1:19" s="259" customFormat="1" ht="12.5">
      <c r="A74" s="655">
        <f ca="1">IFERROR(__xludf.DUMMYFUNCTION("""COMPUTED_VALUE"""),65)</f>
        <v>65</v>
      </c>
      <c r="B74" s="648" t="str">
        <f ca="1">IFERROR(__xludf.DUMMYFUNCTION("""COMPUTED_VALUE"""),"Protection")</f>
        <v>Protection</v>
      </c>
      <c r="C74" s="648" t="str">
        <f ca="1">IFERROR(__xludf.DUMMYFUNCTION("""COMPUTED_VALUE"""),"CP")</f>
        <v>CP</v>
      </c>
      <c r="D74" s="648" t="str">
        <f ca="1">IFERROR(__xludf.DUMMYFUNCTION("""COMPUTED_VALUE"""),"Humanitarian Conditions")</f>
        <v>Humanitarian Conditions</v>
      </c>
      <c r="E74" s="648" t="str">
        <f ca="1">IFERROR(__xludf.DUMMYFUNCTION("""COMPUTED_VALUE"""),"Physical and Mental Wellbeing")</f>
        <v>Physical and Mental Wellbeing</v>
      </c>
      <c r="F74" s="648" t="str">
        <f ca="1">IFERROR(__xludf.DUMMYFUNCTION("""COMPUTED_VALUE"""),"% of girls / boys that have been separated from their parents or other typical adult caregivers")</f>
        <v>% of girls / boys that have been separated from their parents or other typical adult caregivers</v>
      </c>
      <c r="G74" s="648"/>
      <c r="H74" s="649">
        <f ca="1">IFERROR(__xludf.DUMMYFUNCTION("""COMPUTED_VALUE"""),1)</f>
        <v>1</v>
      </c>
      <c r="I74" s="648" t="str">
        <f ca="1">IFERROR(__xludf.DUMMYFUNCTION("""COMPUTED_VALUE"""),"HH Survey / KI")</f>
        <v>HH Survey / KI</v>
      </c>
      <c r="J74" s="648" t="str">
        <f ca="1">IFERROR(__xludf.DUMMYFUNCTION("""COMPUTED_VALUE"""),"MSNA / Protection Monitoring / DTM")</f>
        <v>MSNA / Protection Monitoring / DTM</v>
      </c>
      <c r="K74" s="649">
        <f ca="1">IFERROR(__xludf.DUMMYFUNCTION("""COMPUTED_VALUE"""),0)</f>
        <v>0</v>
      </c>
      <c r="L74" s="648" t="str">
        <f ca="1">IFERROR(__xludf.DUMMYFUNCTION("""COMPUTED_VALUE"""),"0-0.5%")</f>
        <v>0-0.5%</v>
      </c>
      <c r="M74" s="648" t="str">
        <f ca="1">IFERROR(__xludf.DUMMYFUNCTION("""COMPUTED_VALUE"""),"0.5-1%")</f>
        <v>0.5-1%</v>
      </c>
      <c r="N74" s="648" t="str">
        <f ca="1">IFERROR(__xludf.DUMMYFUNCTION("""COMPUTED_VALUE"""),"1-2%")</f>
        <v>1-2%</v>
      </c>
      <c r="O74" s="648" t="str">
        <f ca="1">IFERROR(__xludf.DUMMYFUNCTION("""COMPUTED_VALUE"""),"3%+")</f>
        <v>3%+</v>
      </c>
      <c r="P74" s="648"/>
      <c r="Q74" s="372"/>
      <c r="R74" s="372"/>
      <c r="S74" s="372"/>
    </row>
    <row r="75" spans="1:19" s="259" customFormat="1" ht="12.5">
      <c r="A75" s="655">
        <f ca="1">IFERROR(__xludf.DUMMYFUNCTION("""COMPUTED_VALUE"""),66)</f>
        <v>66</v>
      </c>
      <c r="B75" s="648" t="str">
        <f ca="1">IFERROR(__xludf.DUMMYFUNCTION("""COMPUTED_VALUE"""),"Protection")</f>
        <v>Protection</v>
      </c>
      <c r="C75" s="648" t="str">
        <f ca="1">IFERROR(__xludf.DUMMYFUNCTION("""COMPUTED_VALUE"""),"CP")</f>
        <v>CP</v>
      </c>
      <c r="D75" s="648" t="str">
        <f ca="1">IFERROR(__xludf.DUMMYFUNCTION("""COMPUTED_VALUE"""),"Humanitarian Conditions")</f>
        <v>Humanitarian Conditions</v>
      </c>
      <c r="E75" s="648" t="str">
        <f ca="1">IFERROR(__xludf.DUMMYFUNCTION("""COMPUTED_VALUE"""),"Physical and Mental Wellbeing")</f>
        <v>Physical and Mental Wellbeing</v>
      </c>
      <c r="F75" s="648" t="str">
        <f ca="1">IFERROR(__xludf.DUMMYFUNCTION("""COMPUTED_VALUE"""),"Prevalence of child marriage")</f>
        <v>Prevalence of child marriage</v>
      </c>
      <c r="G75" s="648"/>
      <c r="H75" s="649">
        <f ca="1">IFERROR(__xludf.DUMMYFUNCTION("""COMPUTED_VALUE"""),1)</f>
        <v>1</v>
      </c>
      <c r="I75" s="648" t="str">
        <f ca="1">IFERROR(__xludf.DUMMYFUNCTION("""COMPUTED_VALUE"""),"HH Survey / KI")</f>
        <v>HH Survey / KI</v>
      </c>
      <c r="J75" s="648" t="str">
        <f ca="1">IFERROR(__xludf.DUMMYFUNCTION("""COMPUTED_VALUE"""),"MSNA / MoSA / UNICEF")</f>
        <v>MSNA / MoSA / UNICEF</v>
      </c>
      <c r="K75" s="648" t="str">
        <f ca="1">IFERROR(__xludf.DUMMYFUNCTION("""COMPUTED_VALUE"""),"0-9% of girls and boys married under the age of 18")</f>
        <v>0-9% of girls and boys married under the age of 18</v>
      </c>
      <c r="L75" s="648" t="str">
        <f ca="1">IFERROR(__xludf.DUMMYFUNCTION("""COMPUTED_VALUE"""),"10-19% of girls and boys married under the age of 18")</f>
        <v>10-19% of girls and boys married under the age of 18</v>
      </c>
      <c r="M75" s="648" t="str">
        <f ca="1">IFERROR(__xludf.DUMMYFUNCTION("""COMPUTED_VALUE"""),"20-25% of girls and boys married under the age of 18")</f>
        <v>20-25% of girls and boys married under the age of 18</v>
      </c>
      <c r="N75" s="648" t="str">
        <f ca="1">IFERROR(__xludf.DUMMYFUNCTION("""COMPUTED_VALUE"""),"25-30% of girls and boys married under the age of 18")</f>
        <v>25-30% of girls and boys married under the age of 18</v>
      </c>
      <c r="O75" s="648" t="str">
        <f ca="1">IFERROR(__xludf.DUMMYFUNCTION("""COMPUTED_VALUE"""),"30 + % of girls and boys married under the age of 18")</f>
        <v>30 + % of girls and boys married under the age of 18</v>
      </c>
      <c r="P75" s="648"/>
      <c r="Q75" s="372"/>
      <c r="R75" s="372"/>
      <c r="S75" s="372"/>
    </row>
    <row r="76" spans="1:19" s="259" customFormat="1" ht="12.5">
      <c r="A76" s="655">
        <f ca="1">IFERROR(__xludf.DUMMYFUNCTION("""COMPUTED_VALUE"""),67)</f>
        <v>67</v>
      </c>
      <c r="B76" s="648" t="str">
        <f ca="1">IFERROR(__xludf.DUMMYFUNCTION("""COMPUTED_VALUE"""),"Protection")</f>
        <v>Protection</v>
      </c>
      <c r="C76" s="648" t="str">
        <f ca="1">IFERROR(__xludf.DUMMYFUNCTION("""COMPUTED_VALUE"""),"CP / GBV")</f>
        <v>CP / GBV</v>
      </c>
      <c r="D76" s="648" t="str">
        <f ca="1">IFERROR(__xludf.DUMMYFUNCTION("""COMPUTED_VALUE"""),"Humanitarian Conditions")</f>
        <v>Humanitarian Conditions</v>
      </c>
      <c r="E76" s="648" t="str">
        <f ca="1">IFERROR(__xludf.DUMMYFUNCTION("""COMPUTED_VALUE"""),"Coping Mechanisms")</f>
        <v>Coping Mechanisms</v>
      </c>
      <c r="F76" s="648" t="str">
        <f ca="1">IFERROR(__xludf.DUMMYFUNCTION("""COMPUTED_VALUE"""),"% of girls / boys engaging in harmful activities")</f>
        <v>% of girls / boys engaging in harmful activities</v>
      </c>
      <c r="G76" s="648"/>
      <c r="H76" s="649">
        <f ca="1">IFERROR(__xludf.DUMMYFUNCTION("""COMPUTED_VALUE"""),1)</f>
        <v>1</v>
      </c>
      <c r="I76" s="648" t="str">
        <f ca="1">IFERROR(__xludf.DUMMYFUNCTION("""COMPUTED_VALUE"""),"HH Survey")</f>
        <v>HH Survey</v>
      </c>
      <c r="J76" s="648" t="str">
        <f ca="1">IFERROR(__xludf.DUMMYFUNCTION("""COMPUTED_VALUE"""),"MSNA / Protection Monitoring")</f>
        <v>MSNA / Protection Monitoring</v>
      </c>
      <c r="K76" s="649">
        <f ca="1">IFERROR(__xludf.DUMMYFUNCTION("""COMPUTED_VALUE"""),0)</f>
        <v>0</v>
      </c>
      <c r="L76" s="648" t="str">
        <f ca="1">IFERROR(__xludf.DUMMYFUNCTION("""COMPUTED_VALUE"""),"0-5%")</f>
        <v>0-5%</v>
      </c>
      <c r="M76" s="648" t="str">
        <f ca="1">IFERROR(__xludf.DUMMYFUNCTION("""COMPUTED_VALUE"""),"6-10%")</f>
        <v>6-10%</v>
      </c>
      <c r="N76" s="648" t="str">
        <f ca="1">IFERROR(__xludf.DUMMYFUNCTION("""COMPUTED_VALUE"""),"10-13%")</f>
        <v>10-13%</v>
      </c>
      <c r="O76" s="648" t="str">
        <f ca="1">IFERROR(__xludf.DUMMYFUNCTION("""COMPUTED_VALUE"""),"13% +")</f>
        <v>13% +</v>
      </c>
      <c r="P76" s="648"/>
      <c r="Q76" s="372"/>
      <c r="R76" s="372"/>
      <c r="S76" s="372"/>
    </row>
    <row r="77" spans="1:19" s="259" customFormat="1" ht="12.5">
      <c r="A77" s="655">
        <f ca="1">IFERROR(__xludf.DUMMYFUNCTION("""COMPUTED_VALUE"""),68)</f>
        <v>68</v>
      </c>
      <c r="B77" s="648" t="str">
        <f ca="1">IFERROR(__xludf.DUMMYFUNCTION("""COMPUTED_VALUE"""),"Protection")</f>
        <v>Protection</v>
      </c>
      <c r="C77" s="648" t="str">
        <f ca="1">IFERROR(__xludf.DUMMYFUNCTION("""COMPUTED_VALUE"""),"GBV")</f>
        <v>GBV</v>
      </c>
      <c r="D77" s="648" t="str">
        <f ca="1">IFERROR(__xludf.DUMMYFUNCTION("""COMPUTED_VALUE"""),"Humanitarian Conditions")</f>
        <v>Humanitarian Conditions</v>
      </c>
      <c r="E77" s="648" t="str">
        <f ca="1">IFERROR(__xludf.DUMMYFUNCTION("""COMPUTED_VALUE"""),"Living Standards")</f>
        <v>Living Standards</v>
      </c>
      <c r="F77" s="648" t="str">
        <f ca="1">IFERROR(__xludf.DUMMYFUNCTION("""COMPUTED_VALUE"""),"% of girls / women without access to GBV-related services.")</f>
        <v>% of girls / women without access to GBV-related services.</v>
      </c>
      <c r="G77" s="648"/>
      <c r="H77" s="649">
        <f ca="1">IFERROR(__xludf.DUMMYFUNCTION("""COMPUTED_VALUE"""),1)</f>
        <v>1</v>
      </c>
      <c r="I77" s="648" t="str">
        <f ca="1">IFERROR(__xludf.DUMMYFUNCTION("""COMPUTED_VALUE"""),"KI")</f>
        <v>KI</v>
      </c>
      <c r="J77" s="648" t="str">
        <f ca="1">IFERROR(__xludf.DUMMYFUNCTION("""COMPUTED_VALUE"""),"Protection Monitoring / Service mapping")</f>
        <v>Protection Monitoring / Service mapping</v>
      </c>
      <c r="K77" s="648" t="str">
        <f ca="1">IFERROR(__xludf.DUMMYFUNCTION("""COMPUTED_VALUE"""),"Up to 4 services available")</f>
        <v>Up to 4 services available</v>
      </c>
      <c r="L77" s="648" t="str">
        <f ca="1">IFERROR(__xludf.DUMMYFUNCTION("""COMPUTED_VALUE"""),"Up to 3 services available")</f>
        <v>Up to 3 services available</v>
      </c>
      <c r="M77" s="648" t="str">
        <f ca="1">IFERROR(__xludf.DUMMYFUNCTION("""COMPUTED_VALUE"""),"Up to 2 services available")</f>
        <v>Up to 2 services available</v>
      </c>
      <c r="N77" s="648" t="str">
        <f ca="1">IFERROR(__xludf.DUMMYFUNCTION("""COMPUTED_VALUE"""),"Only 1 service available")</f>
        <v>Only 1 service available</v>
      </c>
      <c r="O77" s="648" t="str">
        <f ca="1">IFERROR(__xludf.DUMMYFUNCTION("""COMPUTED_VALUE"""),"No GBV service available")</f>
        <v>No GBV service available</v>
      </c>
      <c r="P77" s="648"/>
      <c r="Q77" s="372"/>
      <c r="R77" s="372"/>
      <c r="S77" s="372"/>
    </row>
    <row r="78" spans="1:19" s="259" customFormat="1" ht="16.25" customHeight="1">
      <c r="A78" s="655">
        <f ca="1">IFERROR(__xludf.DUMMYFUNCTION("""COMPUTED_VALUE"""),69)</f>
        <v>69</v>
      </c>
      <c r="B78" s="648" t="str">
        <f ca="1">IFERROR(__xludf.DUMMYFUNCTION("""COMPUTED_VALUE"""),"Protection")</f>
        <v>Protection</v>
      </c>
      <c r="C78" s="648" t="str">
        <f ca="1">IFERROR(__xludf.DUMMYFUNCTION("""COMPUTED_VALUE"""),"GBV")</f>
        <v>GBV</v>
      </c>
      <c r="D78" s="648" t="str">
        <f ca="1">IFERROR(__xludf.DUMMYFUNCTION("""COMPUTED_VALUE"""),"Humanitarian Conditions")</f>
        <v>Humanitarian Conditions</v>
      </c>
      <c r="E78" s="648" t="str">
        <f ca="1">IFERROR(__xludf.DUMMYFUNCTION("""COMPUTED_VALUE"""),"Living Standards")</f>
        <v>Living Standards</v>
      </c>
      <c r="F78" s="648" t="str">
        <f ca="1">IFERROR(__xludf.DUMMYFUNCTION("""COMPUTED_VALUE"""),"% of HHs with knowledge on available core services for GBV survivors")</f>
        <v>% of HHs with knowledge on available core services for GBV survivors</v>
      </c>
      <c r="G78" s="648"/>
      <c r="H78" s="649">
        <f ca="1">IFERROR(__xludf.DUMMYFUNCTION("""COMPUTED_VALUE"""),2)</f>
        <v>2</v>
      </c>
      <c r="I78" s="648" t="str">
        <f ca="1">IFERROR(__xludf.DUMMYFUNCTION("""COMPUTED_VALUE"""),"HH Survey")</f>
        <v>HH Survey</v>
      </c>
      <c r="J78" s="648" t="str">
        <f ca="1">IFERROR(__xludf.DUMMYFUNCTION("""COMPUTED_VALUE"""),"MSNA / Protection Monitoring")</f>
        <v>MSNA / Protection Monitoring</v>
      </c>
      <c r="K78" s="648" t="str">
        <f ca="1">IFERROR(__xludf.DUMMYFUNCTION("""COMPUTED_VALUE"""),"&lt; 20%")</f>
        <v>&lt; 20%</v>
      </c>
      <c r="L78" s="648" t="str">
        <f ca="1">IFERROR(__xludf.DUMMYFUNCTION("""COMPUTED_VALUE"""),"20% - 30%")</f>
        <v>20% - 30%</v>
      </c>
      <c r="M78" s="648" t="str">
        <f ca="1">IFERROR(__xludf.DUMMYFUNCTION("""COMPUTED_VALUE"""),"30% - 40%")</f>
        <v>30% - 40%</v>
      </c>
      <c r="N78" s="648" t="str">
        <f ca="1">IFERROR(__xludf.DUMMYFUNCTION("""COMPUTED_VALUE"""),"40% - 50%")</f>
        <v>40% - 50%</v>
      </c>
      <c r="O78" s="648" t="str">
        <f ca="1">IFERROR(__xludf.DUMMYFUNCTION("""COMPUTED_VALUE"""),"&gt; 50%")</f>
        <v>&gt; 50%</v>
      </c>
      <c r="P78" s="648"/>
      <c r="Q78" s="372"/>
      <c r="R78" s="372"/>
      <c r="S78" s="372"/>
    </row>
    <row r="79" spans="1:19" s="259" customFormat="1" ht="12.5">
      <c r="A79" s="655">
        <f ca="1">IFERROR(__xludf.DUMMYFUNCTION("""COMPUTED_VALUE"""),70)</f>
        <v>70</v>
      </c>
      <c r="B79" s="648" t="str">
        <f ca="1">IFERROR(__xludf.DUMMYFUNCTION("""COMPUTED_VALUE"""),"Protection")</f>
        <v>Protection</v>
      </c>
      <c r="C79" s="648" t="str">
        <f ca="1">IFERROR(__xludf.DUMMYFUNCTION("""COMPUTED_VALUE"""),"GBV")</f>
        <v>GBV</v>
      </c>
      <c r="D79" s="648" t="str">
        <f ca="1">IFERROR(__xludf.DUMMYFUNCTION("""COMPUTED_VALUE"""),"Humanitarian Conditions")</f>
        <v>Humanitarian Conditions</v>
      </c>
      <c r="E79" s="648" t="str">
        <f ca="1">IFERROR(__xludf.DUMMYFUNCTION("""COMPUTED_VALUE"""),"Physical and Mental Wellbeing")</f>
        <v>Physical and Mental Wellbeing</v>
      </c>
      <c r="F79" s="648" t="str">
        <f ca="1">IFERROR(__xludf.DUMMYFUNCTION("""COMPUTED_VALUE"""),"% of girls / women who avoid areas because they feel unsafe")</f>
        <v>% of girls / women who avoid areas because they feel unsafe</v>
      </c>
      <c r="G79" s="648"/>
      <c r="H79" s="649">
        <f ca="1">IFERROR(__xludf.DUMMYFUNCTION("""COMPUTED_VALUE"""),1)</f>
        <v>1</v>
      </c>
      <c r="I79" s="648" t="str">
        <f ca="1">IFERROR(__xludf.DUMMYFUNCTION("""COMPUTED_VALUE"""),"HH Survey / KI")</f>
        <v>HH Survey / KI</v>
      </c>
      <c r="J79" s="648" t="str">
        <f ca="1">IFERROR(__xludf.DUMMYFUNCTION("""COMPUTED_VALUE"""),"MSNA / Protection Monitoring")</f>
        <v>MSNA / Protection Monitoring</v>
      </c>
      <c r="K79" s="648" t="str">
        <f ca="1">IFERROR(__xludf.DUMMYFUNCTION("""COMPUTED_VALUE"""),"Women and girls do not avoid areas")</f>
        <v>Women and girls do not avoid areas</v>
      </c>
      <c r="L79" s="648" t="str">
        <f ca="1">IFERROR(__xludf.DUMMYFUNCTION("""COMPUTED_VALUE"""),"Women and girls avoid one area because they feel unsafe")</f>
        <v>Women and girls avoid one area because they feel unsafe</v>
      </c>
      <c r="M79" s="648" t="str">
        <f ca="1">IFERROR(__xludf.DUMMYFUNCTION("""COMPUTED_VALUE"""),"Women and girls avoid two areas because they feel unsafe")</f>
        <v>Women and girls avoid two areas because they feel unsafe</v>
      </c>
      <c r="N79" s="648" t="str">
        <f ca="1">IFERROR(__xludf.DUMMYFUNCTION("""COMPUTED_VALUE"""),"Women and girls avoid three areas because they feel unsafe")</f>
        <v>Women and girls avoid three areas because they feel unsafe</v>
      </c>
      <c r="O79" s="648" t="str">
        <f ca="1">IFERROR(__xludf.DUMMYFUNCTION("""COMPUTED_VALUE"""),"Women and girls avoid four or more area because they feel unsafe")</f>
        <v>Women and girls avoid four or more area because they feel unsafe</v>
      </c>
      <c r="P79" s="648"/>
      <c r="Q79" s="372"/>
      <c r="R79" s="372"/>
      <c r="S79" s="372"/>
    </row>
    <row r="80" spans="1:19" s="259" customFormat="1" ht="12.5">
      <c r="A80" s="655">
        <f ca="1">IFERROR(__xludf.DUMMYFUNCTION("""COMPUTED_VALUE"""),71)</f>
        <v>71</v>
      </c>
      <c r="B80" s="648" t="str">
        <f ca="1">IFERROR(__xludf.DUMMYFUNCTION("""COMPUTED_VALUE"""),"Protection")</f>
        <v>Protection</v>
      </c>
      <c r="C80" s="648" t="str">
        <f ca="1">IFERROR(__xludf.DUMMYFUNCTION("""COMPUTED_VALUE"""),"GBV / CP")</f>
        <v>GBV / CP</v>
      </c>
      <c r="D80" s="648" t="str">
        <f ca="1">IFERROR(__xludf.DUMMYFUNCTION("""COMPUTED_VALUE"""),"Humanitarian Conditions")</f>
        <v>Humanitarian Conditions</v>
      </c>
      <c r="E80" s="648" t="str">
        <f ca="1">IFERROR(__xludf.DUMMYFUNCTION("""COMPUTED_VALUE"""),"Physical and Mental Wellbeing")</f>
        <v>Physical and Mental Wellbeing</v>
      </c>
      <c r="F80" s="648" t="str">
        <f ca="1">IFERROR(__xludf.DUMMYFUNCTION("""COMPUTED_VALUE"""),"% of HH reporting fear of GBV (sexual violence and forced marriage / reproduction) for girls / boys / women in the HH")</f>
        <v>% of HH reporting fear of GBV (sexual violence and forced marriage / reproduction) for girls / boys / women in the HH</v>
      </c>
      <c r="G80" s="648"/>
      <c r="H80" s="649">
        <f ca="1">IFERROR(__xludf.DUMMYFUNCTION("""COMPUTED_VALUE"""),1)</f>
        <v>1</v>
      </c>
      <c r="I80" s="648" t="str">
        <f ca="1">IFERROR(__xludf.DUMMYFUNCTION("""COMPUTED_VALUE"""),"HH Survey / KI")</f>
        <v>HH Survey / KI</v>
      </c>
      <c r="J80" s="648" t="str">
        <f ca="1">IFERROR(__xludf.DUMMYFUNCTION("""COMPUTED_VALUE"""),"MSNA / Protection Monitoring")</f>
        <v>MSNA / Protection Monitoring</v>
      </c>
      <c r="K80" s="648" t="str">
        <f ca="1">IFERROR(__xludf.DUMMYFUNCTION("""COMPUTED_VALUE"""),"&lt; 20%")</f>
        <v>&lt; 20%</v>
      </c>
      <c r="L80" s="648" t="str">
        <f ca="1">IFERROR(__xludf.DUMMYFUNCTION("""COMPUTED_VALUE"""),"20% - 30%")</f>
        <v>20% - 30%</v>
      </c>
      <c r="M80" s="648" t="str">
        <f ca="1">IFERROR(__xludf.DUMMYFUNCTION("""COMPUTED_VALUE"""),"30% - 40%")</f>
        <v>30% - 40%</v>
      </c>
      <c r="N80" s="648" t="str">
        <f ca="1">IFERROR(__xludf.DUMMYFUNCTION("""COMPUTED_VALUE"""),"40% - 50%")</f>
        <v>40% - 50%</v>
      </c>
      <c r="O80" s="648" t="str">
        <f ca="1">IFERROR(__xludf.DUMMYFUNCTION("""COMPUTED_VALUE"""),"&gt; 50%")</f>
        <v>&gt; 50%</v>
      </c>
      <c r="P80" s="648"/>
      <c r="Q80" s="372"/>
      <c r="R80" s="372"/>
      <c r="S80" s="372"/>
    </row>
    <row r="81" spans="1:19" s="259" customFormat="1" ht="12.5">
      <c r="A81" s="655">
        <f ca="1">IFERROR(__xludf.DUMMYFUNCTION("""COMPUTED_VALUE"""),72)</f>
        <v>72</v>
      </c>
      <c r="B81" s="648" t="str">
        <f ca="1">IFERROR(__xludf.DUMMYFUNCTION("""COMPUTED_VALUE"""),"Protection")</f>
        <v>Protection</v>
      </c>
      <c r="C81" s="648" t="str">
        <f ca="1">IFERROR(__xludf.DUMMYFUNCTION("""COMPUTED_VALUE"""),"GBV / CP")</f>
        <v>GBV / CP</v>
      </c>
      <c r="D81" s="648" t="str">
        <f ca="1">IFERROR(__xludf.DUMMYFUNCTION("""COMPUTED_VALUE"""),"Humanitarian Conditions")</f>
        <v>Humanitarian Conditions</v>
      </c>
      <c r="E81" s="648" t="str">
        <f ca="1">IFERROR(__xludf.DUMMYFUNCTION("""COMPUTED_VALUE"""),"Physical and Mental Wellbeing")</f>
        <v>Physical and Mental Wellbeing</v>
      </c>
      <c r="F81" s="648" t="str">
        <f ca="1">IFERROR(__xludf.DUMMYFUNCTION("""COMPUTED_VALUE"""),"% of girls / boys / women at risk of GBV (sexual violence and forced marriage / reproduction)")</f>
        <v>% of girls / boys / women at risk of GBV (sexual violence and forced marriage / reproduction)</v>
      </c>
      <c r="G81" s="648"/>
      <c r="H81" s="648"/>
      <c r="I81" s="648" t="str">
        <f ca="1">IFERROR(__xludf.DUMMYFUNCTION("""COMPUTED_VALUE"""),"KI")</f>
        <v>KI</v>
      </c>
      <c r="J81" s="648" t="str">
        <f ca="1">IFERROR(__xludf.DUMMYFUNCTION("""COMPUTED_VALUE"""),"XX")</f>
        <v>XX</v>
      </c>
      <c r="K81" s="648" t="str">
        <f ca="1">IFERROR(__xludf.DUMMYFUNCTION("""COMPUTED_VALUE"""),"&lt; 20%")</f>
        <v>&lt; 20%</v>
      </c>
      <c r="L81" s="648" t="str">
        <f ca="1">IFERROR(__xludf.DUMMYFUNCTION("""COMPUTED_VALUE"""),"20% - 30%")</f>
        <v>20% - 30%</v>
      </c>
      <c r="M81" s="648" t="str">
        <f ca="1">IFERROR(__xludf.DUMMYFUNCTION("""COMPUTED_VALUE"""),"30% - 40%")</f>
        <v>30% - 40%</v>
      </c>
      <c r="N81" s="648" t="str">
        <f ca="1">IFERROR(__xludf.DUMMYFUNCTION("""COMPUTED_VALUE"""),"40% - 50%")</f>
        <v>40% - 50%</v>
      </c>
      <c r="O81" s="648" t="str">
        <f ca="1">IFERROR(__xludf.DUMMYFUNCTION("""COMPUTED_VALUE"""),"&gt; 50%")</f>
        <v>&gt; 50%</v>
      </c>
      <c r="P81" s="648"/>
      <c r="Q81" s="372"/>
      <c r="R81" s="372"/>
      <c r="S81" s="372"/>
    </row>
    <row r="82" spans="1:19" s="259" customFormat="1" ht="12.5">
      <c r="A82" s="655">
        <f ca="1">IFERROR(__xludf.DUMMYFUNCTION("""COMPUTED_VALUE"""),73)</f>
        <v>73</v>
      </c>
      <c r="B82" s="648" t="str">
        <f ca="1">IFERROR(__xludf.DUMMYFUNCTION("""COMPUTED_VALUE"""),"Protection")</f>
        <v>Protection</v>
      </c>
      <c r="C82" s="648" t="str">
        <f ca="1">IFERROR(__xludf.DUMMYFUNCTION("""COMPUTED_VALUE"""),"HLP")</f>
        <v>HLP</v>
      </c>
      <c r="D82" s="648" t="str">
        <f ca="1">IFERROR(__xludf.DUMMYFUNCTION("""COMPUTED_VALUE"""),"Impact")</f>
        <v>Impact</v>
      </c>
      <c r="E82" s="648" t="str">
        <f ca="1">IFERROR(__xludf.DUMMYFUNCTION("""COMPUTED_VALUE"""),"Impact on people")</f>
        <v>Impact on people</v>
      </c>
      <c r="F82" s="648" t="str">
        <f ca="1">IFERROR(__xludf.DUMMYFUNCTION("""COMPUTED_VALUE"""),"% of HHs with housing / shelter damaged or destroyed due to violence, conflict or natural hazards")</f>
        <v>% of HHs with housing / shelter damaged or destroyed due to violence, conflict or natural hazards</v>
      </c>
      <c r="G82" s="648"/>
      <c r="H82" s="649">
        <f ca="1">IFERROR(__xludf.DUMMYFUNCTION("""COMPUTED_VALUE"""),2)</f>
        <v>2</v>
      </c>
      <c r="I82" s="648" t="str">
        <f ca="1">IFERROR(__xludf.DUMMYFUNCTION("""COMPUTED_VALUE"""),"KI")</f>
        <v>KI</v>
      </c>
      <c r="J82" s="648" t="str">
        <f ca="1">IFERROR(__xludf.DUMMYFUNCTION("""COMPUTED_VALUE"""),"UNOSAT / SDR")</f>
        <v>UNOSAT / SDR</v>
      </c>
      <c r="K82" s="648" t="str">
        <f ca="1">IFERROR(__xludf.DUMMYFUNCTION("""COMPUTED_VALUE"""),"&lt; 30%")</f>
        <v>&lt; 30%</v>
      </c>
      <c r="L82" s="648" t="str">
        <f ca="1">IFERROR(__xludf.DUMMYFUNCTION("""COMPUTED_VALUE"""),"30% - 40%")</f>
        <v>30% - 40%</v>
      </c>
      <c r="M82" s="648" t="str">
        <f ca="1">IFERROR(__xludf.DUMMYFUNCTION("""COMPUTED_VALUE"""),"40% - 55%")</f>
        <v>40% - 55%</v>
      </c>
      <c r="N82" s="648" t="str">
        <f ca="1">IFERROR(__xludf.DUMMYFUNCTION("""COMPUTED_VALUE"""),"55% - 70%")</f>
        <v>55% - 70%</v>
      </c>
      <c r="O82" s="648" t="str">
        <f ca="1">IFERROR(__xludf.DUMMYFUNCTION("""COMPUTED_VALUE"""),"&gt; 70%")</f>
        <v>&gt; 70%</v>
      </c>
      <c r="P82" s="648"/>
      <c r="Q82" s="372"/>
      <c r="R82" s="372"/>
      <c r="S82" s="372"/>
    </row>
    <row r="83" spans="1:19" s="259" customFormat="1" ht="12.5">
      <c r="A83" s="655">
        <f ca="1">IFERROR(__xludf.DUMMYFUNCTION("""COMPUTED_VALUE"""),74)</f>
        <v>74</v>
      </c>
      <c r="B83" s="648" t="str">
        <f ca="1">IFERROR(__xludf.DUMMYFUNCTION("""COMPUTED_VALUE"""),"Protection")</f>
        <v>Protection</v>
      </c>
      <c r="C83" s="648" t="str">
        <f ca="1">IFERROR(__xludf.DUMMYFUNCTION("""COMPUTED_VALUE"""),"HLP")</f>
        <v>HLP</v>
      </c>
      <c r="D83" s="648" t="str">
        <f ca="1">IFERROR(__xludf.DUMMYFUNCTION("""COMPUTED_VALUE"""),"Humanitarian Conditions")</f>
        <v>Humanitarian Conditions</v>
      </c>
      <c r="E83" s="648" t="str">
        <f ca="1">IFERROR(__xludf.DUMMYFUNCTION("""COMPUTED_VALUE"""),"Living Standards")</f>
        <v>Living Standards</v>
      </c>
      <c r="F83" s="648" t="str">
        <f ca="1">IFERROR(__xludf.DUMMYFUNCTION("""COMPUTED_VALUE"""),"% of HH reporting incidents of threaths of eviction")</f>
        <v>% of HH reporting incidents of threaths of eviction</v>
      </c>
      <c r="G83" s="648"/>
      <c r="H83" s="649">
        <f ca="1">IFERROR(__xludf.DUMMYFUNCTION("""COMPUTED_VALUE"""),1)</f>
        <v>1</v>
      </c>
      <c r="I83" s="648" t="str">
        <f ca="1">IFERROR(__xludf.DUMMYFUNCTION("""COMPUTED_VALUE"""),"HH Survey / KI")</f>
        <v>HH Survey / KI</v>
      </c>
      <c r="J83" s="648" t="str">
        <f ca="1">IFERROR(__xludf.DUMMYFUNCTION("""COMPUTED_VALUE"""),"MSNA / Protection Monitoring")</f>
        <v>MSNA / Protection Monitoring</v>
      </c>
      <c r="K83" s="648" t="str">
        <f ca="1">IFERROR(__xludf.DUMMYFUNCTION("""COMPUTED_VALUE"""),"None")</f>
        <v>None</v>
      </c>
      <c r="L83" s="648" t="str">
        <f ca="1">IFERROR(__xludf.DUMMYFUNCTION("""COMPUTED_VALUE"""),"Threatened with eviction only once in the past six months, and were able to resolve (and stay) without resorting to negative coping mechanisms")</f>
        <v>Threatened with eviction only once in the past six months, and were able to resolve (and stay) without resorting to negative coping mechanisms</v>
      </c>
      <c r="M83" s="648" t="str">
        <f ca="1">IFERROR(__xludf.DUMMYFUNCTION("""COMPUTED_VALUE"""),"Threatened with eviction at least once and had to resort to negative coping mechanisms to avoid eviction
OR 
Threatened eviction more than once in the past six months but was not evicted")</f>
        <v>Threatened with eviction at least once and had to resort to negative coping mechanisms to avoid eviction
OR 
Threatened eviction more than once in the past six months but was not evicted</v>
      </c>
      <c r="N83" s="648" t="str">
        <f ca="1">IFERROR(__xludf.DUMMYFUNCTION("""COMPUTED_VALUE"""),"Forcibly evicted /departed under duress at least once in the past 6 months, but were able to find housing immediately following eviction")</f>
        <v>Forcibly evicted /departed under duress at least once in the past 6 months, but were able to find housing immediately following eviction</v>
      </c>
      <c r="O83" s="648" t="str">
        <f ca="1">IFERROR(__xludf.DUMMYFUNCTION("""COMPUTED_VALUE"""),"Forcibly evicted /departed under duress at least once in the past 6 months, and did not have their own housing for more than one week following eviction")</f>
        <v>Forcibly evicted /departed under duress at least once in the past 6 months, and did not have their own housing for more than one week following eviction</v>
      </c>
      <c r="P83" s="648"/>
      <c r="Q83" s="372"/>
      <c r="R83" s="372"/>
      <c r="S83" s="372"/>
    </row>
    <row r="84" spans="1:19" s="259" customFormat="1" ht="12.5">
      <c r="A84" s="655">
        <f ca="1">IFERROR(__xludf.DUMMYFUNCTION("""COMPUTED_VALUE"""),75)</f>
        <v>75</v>
      </c>
      <c r="B84" s="648" t="str">
        <f ca="1">IFERROR(__xludf.DUMMYFUNCTION("""COMPUTED_VALUE"""),"Protection")</f>
        <v>Protection</v>
      </c>
      <c r="C84" s="648" t="str">
        <f ca="1">IFERROR(__xludf.DUMMYFUNCTION("""COMPUTED_VALUE"""),"HLP")</f>
        <v>HLP</v>
      </c>
      <c r="D84" s="648" t="str">
        <f ca="1">IFERROR(__xludf.DUMMYFUNCTION("""COMPUTED_VALUE"""),"Humanitarian Conditions")</f>
        <v>Humanitarian Conditions</v>
      </c>
      <c r="E84" s="648" t="str">
        <f ca="1">IFERROR(__xludf.DUMMYFUNCTION("""COMPUTED_VALUE"""),"Living Standards")</f>
        <v>Living Standards</v>
      </c>
      <c r="F84" s="648" t="str">
        <f ca="1">IFERROR(__xludf.DUMMYFUNCTION("""COMPUTED_VALUE"""),"% of household reporting HLP disputes")</f>
        <v>% of household reporting HLP disputes</v>
      </c>
      <c r="G84" s="648"/>
      <c r="H84" s="649">
        <f ca="1">IFERROR(__xludf.DUMMYFUNCTION("""COMPUTED_VALUE"""),1)</f>
        <v>1</v>
      </c>
      <c r="I84" s="648" t="str">
        <f ca="1">IFERROR(__xludf.DUMMYFUNCTION("""COMPUTED_VALUE"""),"HH Survey / KI")</f>
        <v>HH Survey / KI</v>
      </c>
      <c r="J84" s="648" t="str">
        <f ca="1">IFERROR(__xludf.DUMMYFUNCTION("""COMPUTED_VALUE"""),"MSNA / Protection Monitoring")</f>
        <v>MSNA / Protection Monitoring</v>
      </c>
      <c r="K84" s="648" t="str">
        <f ca="1">IFERROR(__xludf.DUMMYFUNCTION("""COMPUTED_VALUE"""),"No disputes reported
Or dispute reported, but they are confident that they will be able to resolve directly with other party without intervention")</f>
        <v>No disputes reported
Or dispute reported, but they are confident that they will be able to resolve directly with other party without intervention</v>
      </c>
      <c r="L84" s="648" t="str">
        <f ca="1">IFERROR(__xludf.DUMMYFUNCTION("""COMPUTED_VALUE"""),"Dispute reported, but generally confident that they will be able to come to fair resolution with the support of a local governance institution")</f>
        <v>Dispute reported, but generally confident that they will be able to come to fair resolution with the support of a local governance institution</v>
      </c>
      <c r="M84" s="648" t="str">
        <f ca="1">IFERROR(__xludf.DUMMYFUNCTION("""COMPUTED_VALUE"""),"Dispute reported - lack confidence that they will be able to get fair resolution with support of a local governance institutions (either because of access or lack of trust)")</f>
        <v>Dispute reported - lack confidence that they will be able to get fair resolution with support of a local governance institutions (either because of access or lack of trust)</v>
      </c>
      <c r="N84" s="648" t="str">
        <f ca="1">IFERROR(__xludf.DUMMYFUNCTION("""COMPUTED_VALUE"""),"Dispute reported with threats of violence - no confidence they will be able to resolve")</f>
        <v>Dispute reported with threats of violence - no confidence they will be able to resolve</v>
      </c>
      <c r="O84" s="648" t="str">
        <f ca="1">IFERROR(__xludf.DUMMYFUNCTION("""COMPUTED_VALUE"""),"Dispute reported - violence, displacement, etc, has taken place")</f>
        <v>Dispute reported - violence, displacement, etc, has taken place</v>
      </c>
      <c r="P84" s="648"/>
      <c r="Q84" s="372"/>
      <c r="R84" s="372"/>
      <c r="S84" s="372"/>
    </row>
    <row r="85" spans="1:19" s="259" customFormat="1" ht="12.5">
      <c r="A85" s="655">
        <f ca="1">IFERROR(__xludf.DUMMYFUNCTION("""COMPUTED_VALUE"""),76)</f>
        <v>76</v>
      </c>
      <c r="B85" s="648" t="str">
        <f ca="1">IFERROR(__xludf.DUMMYFUNCTION("""COMPUTED_VALUE"""),"Protection")</f>
        <v>Protection</v>
      </c>
      <c r="C85" s="648" t="str">
        <f ca="1">IFERROR(__xludf.DUMMYFUNCTION("""COMPUTED_VALUE"""),"HLP")</f>
        <v>HLP</v>
      </c>
      <c r="D85" s="648" t="str">
        <f ca="1">IFERROR(__xludf.DUMMYFUNCTION("""COMPUTED_VALUE"""),"Humanitarian Conditions")</f>
        <v>Humanitarian Conditions</v>
      </c>
      <c r="E85" s="648" t="str">
        <f ca="1">IFERROR(__xludf.DUMMYFUNCTION("""COMPUTED_VALUE"""),"Living Standards")</f>
        <v>Living Standards</v>
      </c>
      <c r="F85" s="648" t="str">
        <f ca="1">IFERROR(__xludf.DUMMYFUNCTION("""COMPUTED_VALUE"""),"% of households accessing their housing/shelter with security of tenure")</f>
        <v>% of households accessing their housing/shelter with security of tenure</v>
      </c>
      <c r="G85" s="648"/>
      <c r="H85" s="649">
        <f ca="1">IFERROR(__xludf.DUMMYFUNCTION("""COMPUTED_VALUE"""),1)</f>
        <v>1</v>
      </c>
      <c r="I85" s="648" t="str">
        <f ca="1">IFERROR(__xludf.DUMMYFUNCTION("""COMPUTED_VALUE"""),"HH Survey / KI")</f>
        <v>HH Survey / KI</v>
      </c>
      <c r="J85" s="648" t="str">
        <f ca="1">IFERROR(__xludf.DUMMYFUNCTION("""COMPUTED_VALUE"""),"MSNA / Protection Monitoring")</f>
        <v>MSNA / Protection Monitoring</v>
      </c>
      <c r="K85" s="648" t="str">
        <f ca="1">IFERROR(__xludf.DUMMYFUNCTION("""COMPUTED_VALUE"""),"Owner of their house, with offical documentation in their name, and No risk of eviction")</f>
        <v>Owner of their house, with offical documentation in their name, and No risk of eviction</v>
      </c>
      <c r="L85" s="648" t="str">
        <f ca="1">IFERROR(__xludf.DUMMYFUNCTION("""COMPUTED_VALUE"""),"Owner of the house with no official documentation in their name but feels like their tenure is secure
OR
Renter of house with written contract, can renew contract if desired AND No risk of eviction
OR
Shelter granted by organisations/authorities with perm"&amp;"ission AND able to stay as long as needed/no risk of eviction
OR
Granted by relatives/family with permission AND able to stay as long as needed/no risk of eviction")</f>
        <v>Owner of the house with no official documentation in their name but feels like their tenure is secure
OR
Renter of house with written contract, can renew contract if desired AND No risk of eviction
OR
Shelter granted by organisations/authorities with permission AND able to stay as long as needed/no risk of eviction
OR
Granted by relatives/family with permission AND able to stay as long as needed/no risk of eviction</v>
      </c>
      <c r="M85" s="648" t="str">
        <f ca="1">IFERROR(__xludf.DUMMYFUNCTION("""COMPUTED_VALUE"""),"Owner of the house with or without document but feel like their tenure is not assured (risk to tenure is non-specific, just general lack of confidence)
OR
Renter without contract, but no apparent risk of eviction
OR
Granted by organisations/authorities wi"&amp;"th permission but stay is limited to a six month to a year term but no risk of eviction at the moment
OR
Granted by relatives/family with permission AND but stay is limited to a defined six month to a year term, but no risk of eviction at the moment
OR
Sq"&amp;"uatting without permission but no apparent risk of eviction at the moment
")</f>
        <v xml:space="preserve">Owner of the house with or without document but feel like their tenure is not assured (risk to tenure is non-specific, just general lack of confidence)
OR
Renter without contract, but no apparent risk of eviction
OR
Granted by organisations/authorities with permission but stay is limited to a six month to a year term but no risk of eviction at the moment
OR
Granted by relatives/family with permission AND but stay is limited to a defined six month to a year term, but no risk of eviction at the moment
OR
Squatting without permission but no apparent risk of eviction at the moment
</v>
      </c>
      <c r="N85" s="648" t="str">
        <f ca="1">IFERROR(__xludf.DUMMYFUNCTION("""COMPUTED_VALUE"""),"Owner of the house with or without document but feel like their tenure is not assured (specific threat to tenure)
OR
Renter with or without rental contract, but will need to leave within 6 months even if they would prefer to stay
OR
Housing/Shelter grante"&amp;"d by organisations/authorities with permission, but will need to leave within 6 months even if they would like to stay
OR
Housing/Shelter granted by relatives/family with permission, but will need to leave within 6 months even if they would like to stay
O"&amp;"R
Squatting without permission, but will need to leave within 6 months even if they would like to stay")</f>
        <v>Owner of the house with or without document but feel like their tenure is not assured (specific threat to tenure)
OR
Renter with or without rental contract, but will need to leave within 6 months even if they would prefer to stay
OR
Housing/Shelter granted by organisations/authorities with permission, but will need to leave within 6 months even if they would like to stay
OR
Housing/Shelter granted by relatives/family with permission, but will need to leave within 6 months even if they would like to stay
OR
Squatting without permission, but will need to leave within 6 months even if they would like to stay</v>
      </c>
      <c r="O85" s="648" t="str">
        <f ca="1">IFERROR(__xludf.DUMMYFUNCTION("""COMPUTED_VALUE"""),"Owner of the house with or without document but feel explusion is imminent (under 3 months)
OR
Renter with or without rental contract, but eviction/departure under duress is imminent (under 3 months)
OR
Housing/Shelter granted by organisations/authorities"&amp;" with permission, but eviction/departure under duress is imminent (under 3 months)
OR
Housing/Shelter granted by relatives/family with permission, but eviction/departure under duress is imminent (under 3 months)
OR
Squatting without permission, but evicti"&amp;"on/departure under duress is imminent (under 3 months)")</f>
        <v>Owner of the house with or without document but feel explusion is imminent (under 3 months)
OR
Renter with or without rental contract, but eviction/departure under duress is imminent (under 3 months)
OR
Housing/Shelter granted by organisations/authorities with permission, but eviction/departure under duress is imminent (under 3 months)
OR
Housing/Shelter granted by relatives/family with permission, but eviction/departure under duress is imminent (under 3 months)
OR
Squatting without permission, but eviction/departure under duress is imminent (under 3 months)</v>
      </c>
      <c r="P85" s="648"/>
      <c r="Q85" s="372"/>
      <c r="R85" s="372"/>
      <c r="S85" s="372"/>
    </row>
    <row r="86" spans="1:19" s="259" customFormat="1" ht="12.5">
      <c r="A86" s="655">
        <f ca="1">IFERROR(__xludf.DUMMYFUNCTION("""COMPUTED_VALUE"""),77)</f>
        <v>77</v>
      </c>
      <c r="B86" s="648" t="str">
        <f ca="1">IFERROR(__xludf.DUMMYFUNCTION("""COMPUTED_VALUE"""),"Protection")</f>
        <v>Protection</v>
      </c>
      <c r="C86" s="648" t="str">
        <f ca="1">IFERROR(__xludf.DUMMYFUNCTION("""COMPUTED_VALUE"""),"HLP / MA")</f>
        <v>HLP / MA</v>
      </c>
      <c r="D86" s="648" t="str">
        <f ca="1">IFERROR(__xludf.DUMMYFUNCTION("""COMPUTED_VALUE"""),"Humanitarian Conditions")</f>
        <v>Humanitarian Conditions</v>
      </c>
      <c r="E86" s="648" t="str">
        <f ca="1">IFERROR(__xludf.DUMMYFUNCTION("""COMPUTED_VALUE"""),"Living Standards")</f>
        <v>Living Standards</v>
      </c>
      <c r="F86" s="648" t="str">
        <f ca="1">IFERROR(__xludf.DUMMYFUNCTION("""COMPUTED_VALUE"""),"% of households without access to land or resources for their livelihoods")</f>
        <v>% of households without access to land or resources for their livelihoods</v>
      </c>
      <c r="G86" s="648"/>
      <c r="H86" s="649">
        <f ca="1">IFERROR(__xludf.DUMMYFUNCTION("""COMPUTED_VALUE"""),1)</f>
        <v>1</v>
      </c>
      <c r="I86" s="648" t="str">
        <f ca="1">IFERROR(__xludf.DUMMYFUNCTION("""COMPUTED_VALUE"""),"HH Survey / KI")</f>
        <v>HH Survey / KI</v>
      </c>
      <c r="J86" s="648" t="str">
        <f ca="1">IFERROR(__xludf.DUMMYFUNCTION("""COMPUTED_VALUE"""),"MSNA / Protection Monitoring")</f>
        <v>MSNA / Protection Monitoring</v>
      </c>
      <c r="K86" s="648" t="str">
        <f ca="1">IFERROR(__xludf.DUMMYFUNCTION("""COMPUTED_VALUE"""),"Access with confidence of long term usage (adapt to context and livelihood type) without infringement")</f>
        <v>Access with confidence of long term usage (adapt to context and livelihood type) without infringement</v>
      </c>
      <c r="L86" s="648" t="str">
        <f ca="1">IFERROR(__xludf.DUMMYFUNCTION("""COMPUTED_VALUE"""),"Access for defined short term period of time (adapt to context and livelihood type). Confident that access and use during that time will be uninfringed")</f>
        <v>Access for defined short term period of time (adapt to context and livelihood type). Confident that access and use during that time will be uninfringed</v>
      </c>
      <c r="M86" s="648" t="str">
        <f ca="1">IFERROR(__xludf.DUMMYFUNCTION("""COMPUTED_VALUE"""),"Access with limited confidence on ability to use for any continous period of time - percieve potential risk of infringement")</f>
        <v>Access with limited confidence on ability to use for any continous period of time - percieve potential risk of infringement</v>
      </c>
      <c r="N86" s="648" t="str">
        <f ca="1">IFERROR(__xludf.DUMMYFUNCTION("""COMPUTED_VALUE"""),"Access or use explicitly threatened by another party - loss of access imminent (before a harvest, or before new pasture can be found)")</f>
        <v>Access or use explicitly threatened by another party - loss of access imminent (before a harvest, or before new pasture can be found)</v>
      </c>
      <c r="O86" s="648" t="str">
        <f ca="1">IFERROR(__xludf.DUMMYFUNCTION("""COMPUTED_VALUE"""),"Access or use impeded to land or resource or evidence that livelihood resource acutally damaged or destroyed")</f>
        <v>Access or use impeded to land or resource or evidence that livelihood resource acutally damaged or destroyed</v>
      </c>
      <c r="P86" s="648"/>
      <c r="Q86" s="372"/>
      <c r="R86" s="372"/>
      <c r="S86" s="372"/>
    </row>
    <row r="87" spans="1:19" s="259" customFormat="1" ht="12.5">
      <c r="A87" s="655">
        <f ca="1">IFERROR(__xludf.DUMMYFUNCTION("""COMPUTED_VALUE"""),78)</f>
        <v>78</v>
      </c>
      <c r="B87" s="648" t="str">
        <f ca="1">IFERROR(__xludf.DUMMYFUNCTION("""COMPUTED_VALUE"""),"Protection")</f>
        <v>Protection</v>
      </c>
      <c r="C87" s="648" t="str">
        <f ca="1">IFERROR(__xludf.DUMMYFUNCTION("""COMPUTED_VALUE"""),"MA")</f>
        <v>MA</v>
      </c>
      <c r="D87" s="648" t="str">
        <f ca="1">IFERROR(__xludf.DUMMYFUNCTION("""COMPUTED_VALUE"""),"Humanitarian Conditions")</f>
        <v>Humanitarian Conditions</v>
      </c>
      <c r="E87" s="648" t="str">
        <f ca="1">IFERROR(__xludf.DUMMYFUNCTION("""COMPUTED_VALUE"""),"Living Standards")</f>
        <v>Living Standards</v>
      </c>
      <c r="F87" s="648" t="str">
        <f ca="1">IFERROR(__xludf.DUMMYFUNCTION("""COMPUTED_VALUE"""),"% of persons (SADD) in sites/communities reporting presence of EO without access to risk education")</f>
        <v>% of persons (SADD) in sites/communities reporting presence of EO without access to risk education</v>
      </c>
      <c r="G87" s="648"/>
      <c r="H87" s="649">
        <f ca="1">IFERROR(__xludf.DUMMYFUNCTION("""COMPUTED_VALUE"""),1)</f>
        <v>1</v>
      </c>
      <c r="I87" s="648" t="str">
        <f ca="1">IFERROR(__xludf.DUMMYFUNCTION("""COMPUTED_VALUE"""),"KI")</f>
        <v>KI</v>
      </c>
      <c r="J87" s="648" t="str">
        <f ca="1">IFERROR(__xludf.DUMMYFUNCTION("""COMPUTED_VALUE"""),"Protection Monitoring / Service mapping")</f>
        <v>Protection Monitoring / Service mapping</v>
      </c>
      <c r="K87" s="648" t="str">
        <f ca="1">IFERROR(__xludf.DUMMYFUNCTION("""COMPUTED_VALUE"""),"&lt; 20%")</f>
        <v>&lt; 20%</v>
      </c>
      <c r="L87" s="648" t="str">
        <f ca="1">IFERROR(__xludf.DUMMYFUNCTION("""COMPUTED_VALUE"""),"20% - 30%")</f>
        <v>20% - 30%</v>
      </c>
      <c r="M87" s="648" t="str">
        <f ca="1">IFERROR(__xludf.DUMMYFUNCTION("""COMPUTED_VALUE"""),"30% - 40%")</f>
        <v>30% - 40%</v>
      </c>
      <c r="N87" s="648" t="str">
        <f ca="1">IFERROR(__xludf.DUMMYFUNCTION("""COMPUTED_VALUE"""),"40% - 50%")</f>
        <v>40% - 50%</v>
      </c>
      <c r="O87" s="648" t="str">
        <f ca="1">IFERROR(__xludf.DUMMYFUNCTION("""COMPUTED_VALUE"""),"&gt; 50%")</f>
        <v>&gt; 50%</v>
      </c>
      <c r="P87" s="648"/>
      <c r="Q87" s="372"/>
      <c r="R87" s="372"/>
      <c r="S87" s="372"/>
    </row>
    <row r="88" spans="1:19" s="259" customFormat="1" ht="12.5">
      <c r="A88" s="655">
        <f ca="1">IFERROR(__xludf.DUMMYFUNCTION("""COMPUTED_VALUE"""),79)</f>
        <v>79</v>
      </c>
      <c r="B88" s="648" t="str">
        <f ca="1">IFERROR(__xludf.DUMMYFUNCTION("""COMPUTED_VALUE"""),"Protection")</f>
        <v>Protection</v>
      </c>
      <c r="C88" s="648" t="str">
        <f ca="1">IFERROR(__xludf.DUMMYFUNCTION("""COMPUTED_VALUE"""),"MA")</f>
        <v>MA</v>
      </c>
      <c r="D88" s="648" t="str">
        <f ca="1">IFERROR(__xludf.DUMMYFUNCTION("""COMPUTED_VALUE"""),"Humanitarian Conditions")</f>
        <v>Humanitarian Conditions</v>
      </c>
      <c r="E88" s="648" t="str">
        <f ca="1">IFERROR(__xludf.DUMMYFUNCTION("""COMPUTED_VALUE"""),"Living Standards")</f>
        <v>Living Standards</v>
      </c>
      <c r="F88" s="648" t="str">
        <f ca="1">IFERROR(__xludf.DUMMYFUNCTION("""COMPUTED_VALUE"""),"% of persons (SADD) who have reduced access to land, resources or livelihood due to EO contamination")</f>
        <v>% of persons (SADD) who have reduced access to land, resources or livelihood due to EO contamination</v>
      </c>
      <c r="G88" s="648"/>
      <c r="H88" s="649">
        <f ca="1">IFERROR(__xludf.DUMMYFUNCTION("""COMPUTED_VALUE"""),2)</f>
        <v>2</v>
      </c>
      <c r="I88" s="648" t="str">
        <f ca="1">IFERROR(__xludf.DUMMYFUNCTION("""COMPUTED_VALUE"""),"HH Survey / KI")</f>
        <v>HH Survey / KI</v>
      </c>
      <c r="J88" s="648" t="str">
        <f ca="1">IFERROR(__xludf.DUMMYFUNCTION("""COMPUTED_VALUE"""),"MSNA / Protection Monitoring")</f>
        <v>MSNA / Protection Monitoring</v>
      </c>
      <c r="K88" s="648" t="str">
        <f ca="1">IFERROR(__xludf.DUMMYFUNCTION("""COMPUTED_VALUE"""),"&lt; 20%")</f>
        <v>&lt; 20%</v>
      </c>
      <c r="L88" s="648" t="str">
        <f ca="1">IFERROR(__xludf.DUMMYFUNCTION("""COMPUTED_VALUE"""),"20-40%")</f>
        <v>20-40%</v>
      </c>
      <c r="M88" s="648" t="str">
        <f ca="1">IFERROR(__xludf.DUMMYFUNCTION("""COMPUTED_VALUE"""),"40-60%")</f>
        <v>40-60%</v>
      </c>
      <c r="N88" s="648" t="str">
        <f ca="1">IFERROR(__xludf.DUMMYFUNCTION("""COMPUTED_VALUE"""),"60-80%")</f>
        <v>60-80%</v>
      </c>
      <c r="O88" s="648" t="str">
        <f ca="1">IFERROR(__xludf.DUMMYFUNCTION("""COMPUTED_VALUE"""),"80% &gt;")</f>
        <v>80% &gt;</v>
      </c>
      <c r="P88" s="648"/>
      <c r="Q88" s="372"/>
      <c r="R88" s="372"/>
      <c r="S88" s="372"/>
    </row>
    <row r="89" spans="1:19" s="259" customFormat="1" ht="12.5">
      <c r="A89" s="655">
        <f ca="1">IFERROR(__xludf.DUMMYFUNCTION("""COMPUTED_VALUE"""),80)</f>
        <v>80</v>
      </c>
      <c r="B89" s="648" t="str">
        <f ca="1">IFERROR(__xludf.DUMMYFUNCTION("""COMPUTED_VALUE"""),"Protection")</f>
        <v>Protection</v>
      </c>
      <c r="C89" s="648" t="str">
        <f ca="1">IFERROR(__xludf.DUMMYFUNCTION("""COMPUTED_VALUE"""),"MA")</f>
        <v>MA</v>
      </c>
      <c r="D89" s="648" t="str">
        <f ca="1">IFERROR(__xludf.DUMMYFUNCTION("""COMPUTED_VALUE"""),"Humanitarian Conditions")</f>
        <v>Humanitarian Conditions</v>
      </c>
      <c r="E89" s="648" t="str">
        <f ca="1">IFERROR(__xludf.DUMMYFUNCTION("""COMPUTED_VALUE"""),"Living Standards")</f>
        <v>Living Standards</v>
      </c>
      <c r="F89" s="648" t="str">
        <f ca="1">IFERROR(__xludf.DUMMYFUNCTION("""COMPUTED_VALUE"""),"% of persons (SADD) without access to core Victims Assistance services by community")</f>
        <v>% of persons (SADD) without access to core Victims Assistance services by community</v>
      </c>
      <c r="G89" s="648"/>
      <c r="H89" s="649">
        <f ca="1">IFERROR(__xludf.DUMMYFUNCTION("""COMPUTED_VALUE"""),2)</f>
        <v>2</v>
      </c>
      <c r="I89" s="648" t="str">
        <f ca="1">IFERROR(__xludf.DUMMYFUNCTION("""COMPUTED_VALUE"""),"KI")</f>
        <v>KI</v>
      </c>
      <c r="J89" s="648" t="str">
        <f ca="1">IFERROR(__xludf.DUMMYFUNCTION("""COMPUTED_VALUE"""),"Protection Monitoring / Service mapping")</f>
        <v>Protection Monitoring / Service mapping</v>
      </c>
      <c r="K89" s="648" t="str">
        <f ca="1">IFERROR(__xludf.DUMMYFUNCTION("""COMPUTED_VALUE"""),"&lt; 20%")</f>
        <v>&lt; 20%</v>
      </c>
      <c r="L89" s="648" t="str">
        <f ca="1">IFERROR(__xludf.DUMMYFUNCTION("""COMPUTED_VALUE"""),"20% - 30%")</f>
        <v>20% - 30%</v>
      </c>
      <c r="M89" s="648" t="str">
        <f ca="1">IFERROR(__xludf.DUMMYFUNCTION("""COMPUTED_VALUE"""),"30% - 40%")</f>
        <v>30% - 40%</v>
      </c>
      <c r="N89" s="648" t="str">
        <f ca="1">IFERROR(__xludf.DUMMYFUNCTION("""COMPUTED_VALUE"""),"40% - 50%")</f>
        <v>40% - 50%</v>
      </c>
      <c r="O89" s="648" t="str">
        <f ca="1">IFERROR(__xludf.DUMMYFUNCTION("""COMPUTED_VALUE"""),"&gt; 50%")</f>
        <v>&gt; 50%</v>
      </c>
      <c r="P89" s="648"/>
      <c r="Q89" s="372"/>
      <c r="R89" s="372"/>
      <c r="S89" s="372"/>
    </row>
    <row r="90" spans="1:19" s="259" customFormat="1" ht="12.5">
      <c r="A90" s="655">
        <f ca="1">IFERROR(__xludf.DUMMYFUNCTION("""COMPUTED_VALUE"""),81)</f>
        <v>81</v>
      </c>
      <c r="B90" s="648" t="str">
        <f ca="1">IFERROR(__xludf.DUMMYFUNCTION("""COMPUTED_VALUE"""),"Protection")</f>
        <v>Protection</v>
      </c>
      <c r="C90" s="648" t="str">
        <f ca="1">IFERROR(__xludf.DUMMYFUNCTION("""COMPUTED_VALUE"""),"MA")</f>
        <v>MA</v>
      </c>
      <c r="D90" s="648" t="str">
        <f ca="1">IFERROR(__xludf.DUMMYFUNCTION("""COMPUTED_VALUE"""),"Humanitarian Conditions")</f>
        <v>Humanitarian Conditions</v>
      </c>
      <c r="E90" s="648" t="str">
        <f ca="1">IFERROR(__xludf.DUMMYFUNCTION("""COMPUTED_VALUE"""),"Physical and Mental Wellbeing")</f>
        <v>Physical and Mental Wellbeing</v>
      </c>
      <c r="F90" s="648" t="str">
        <f ca="1">IFERROR(__xludf.DUMMYFUNCTION("""COMPUTED_VALUE"""),"Persons killed or injured by EO by community (SADD)")</f>
        <v>Persons killed or injured by EO by community (SADD)</v>
      </c>
      <c r="G90" s="648"/>
      <c r="H90" s="649">
        <f ca="1">IFERROR(__xludf.DUMMYFUNCTION("""COMPUTED_VALUE"""),1)</f>
        <v>1</v>
      </c>
      <c r="I90" s="648" t="str">
        <f ca="1">IFERROR(__xludf.DUMMYFUNCTION("""COMPUTED_VALUE"""),"KI")</f>
        <v>KI</v>
      </c>
      <c r="J90" s="648" t="str">
        <f ca="1">IFERROR(__xludf.DUMMYFUNCTION("""COMPUTED_VALUE"""),"MA IM Systems")</f>
        <v>MA IM Systems</v>
      </c>
      <c r="K90" s="648"/>
      <c r="L90" s="648"/>
      <c r="M90" s="648"/>
      <c r="N90" s="648"/>
      <c r="O90" s="648"/>
      <c r="P90" s="648"/>
      <c r="Q90" s="372"/>
      <c r="R90" s="372"/>
      <c r="S90" s="372"/>
    </row>
    <row r="91" spans="1:19" s="259" customFormat="1" ht="12.5">
      <c r="A91" s="655">
        <f ca="1">IFERROR(__xludf.DUMMYFUNCTION("""COMPUTED_VALUE"""),82)</f>
        <v>82</v>
      </c>
      <c r="B91" s="648" t="str">
        <f ca="1">IFERROR(__xludf.DUMMYFUNCTION("""COMPUTED_VALUE"""),"Protection")</f>
        <v>Protection</v>
      </c>
      <c r="C91" s="648" t="str">
        <f ca="1">IFERROR(__xludf.DUMMYFUNCTION("""COMPUTED_VALUE"""),"MA")</f>
        <v>MA</v>
      </c>
      <c r="D91" s="648" t="str">
        <f ca="1">IFERROR(__xludf.DUMMYFUNCTION("""COMPUTED_VALUE"""),"Humanitarian Conditions")</f>
        <v>Humanitarian Conditions</v>
      </c>
      <c r="E91" s="648" t="str">
        <f ca="1">IFERROR(__xludf.DUMMYFUNCTION("""COMPUTED_VALUE"""),"Physical and Mental Wellbeing")</f>
        <v>Physical and Mental Wellbeing</v>
      </c>
      <c r="F91" s="648" t="str">
        <f ca="1">IFERROR(__xludf.DUMMYFUNCTION("""COMPUTED_VALUE"""),"Persons living or returning to areas with EO contamination (SADD)")</f>
        <v>Persons living or returning to areas with EO contamination (SADD)</v>
      </c>
      <c r="G91" s="648"/>
      <c r="H91" s="649">
        <f ca="1">IFERROR(__xludf.DUMMYFUNCTION("""COMPUTED_VALUE"""),1)</f>
        <v>1</v>
      </c>
      <c r="I91" s="648" t="str">
        <f ca="1">IFERROR(__xludf.DUMMYFUNCTION("""COMPUTED_VALUE"""),"KI")</f>
        <v>KI</v>
      </c>
      <c r="J91" s="648" t="str">
        <f ca="1">IFERROR(__xludf.DUMMYFUNCTION("""COMPUTED_VALUE"""),"MA IM Systems")</f>
        <v>MA IM Systems</v>
      </c>
      <c r="K91" s="648" t="str">
        <f ca="1">IFERROR(__xludf.DUMMYFUNCTION("""COMPUTED_VALUE"""),"&lt;5%")</f>
        <v>&lt;5%</v>
      </c>
      <c r="L91" s="648" t="str">
        <f ca="1">IFERROR(__xludf.DUMMYFUNCTION("""COMPUTED_VALUE"""),"5-10%")</f>
        <v>5-10%</v>
      </c>
      <c r="M91" s="648" t="str">
        <f ca="1">IFERROR(__xludf.DUMMYFUNCTION("""COMPUTED_VALUE"""),"11 to 20 %")</f>
        <v>11 to 20 %</v>
      </c>
      <c r="N91" s="648" t="str">
        <f ca="1">IFERROR(__xludf.DUMMYFUNCTION("""COMPUTED_VALUE"""),"21-30 %")</f>
        <v>21-30 %</v>
      </c>
      <c r="O91" s="648" t="str">
        <f ca="1">IFERROR(__xludf.DUMMYFUNCTION("""COMPUTED_VALUE"""),"Above 30 %")</f>
        <v>Above 30 %</v>
      </c>
      <c r="P91" s="648"/>
      <c r="Q91" s="372"/>
      <c r="R91" s="372"/>
      <c r="S91" s="372"/>
    </row>
    <row r="92" spans="1:19" s="259" customFormat="1" ht="12.5">
      <c r="A92" s="655">
        <f ca="1">IFERROR(__xludf.DUMMYFUNCTION("""COMPUTED_VALUE"""),83)</f>
        <v>83</v>
      </c>
      <c r="B92" s="648" t="str">
        <f ca="1">IFERROR(__xludf.DUMMYFUNCTION("""COMPUTED_VALUE"""),"Protection")</f>
        <v>Protection</v>
      </c>
      <c r="C92" s="648" t="str">
        <f ca="1">IFERROR(__xludf.DUMMYFUNCTION("""COMPUTED_VALUE"""),"MA")</f>
        <v>MA</v>
      </c>
      <c r="D92" s="648" t="str">
        <f ca="1">IFERROR(__xludf.DUMMYFUNCTION("""COMPUTED_VALUE"""),"Humanitarian Conditions")</f>
        <v>Humanitarian Conditions</v>
      </c>
      <c r="E92" s="648" t="str">
        <f ca="1">IFERROR(__xludf.DUMMYFUNCTION("""COMPUTED_VALUE"""),"Physical and Mental Wellbeing")</f>
        <v>Physical and Mental Wellbeing</v>
      </c>
      <c r="F92" s="648" t="str">
        <f ca="1">IFERROR(__xludf.DUMMYFUNCTION("""COMPUTED_VALUE"""),"% of persons (SADD) fearing presence of EO")</f>
        <v>% of persons (SADD) fearing presence of EO</v>
      </c>
      <c r="G92" s="648"/>
      <c r="H92" s="649">
        <f ca="1">IFERROR(__xludf.DUMMYFUNCTION("""COMPUTED_VALUE"""),2)</f>
        <v>2</v>
      </c>
      <c r="I92" s="648" t="str">
        <f ca="1">IFERROR(__xludf.DUMMYFUNCTION("""COMPUTED_VALUE"""),"HH Survey / KI")</f>
        <v>HH Survey / KI</v>
      </c>
      <c r="J92" s="648" t="str">
        <f ca="1">IFERROR(__xludf.DUMMYFUNCTION("""COMPUTED_VALUE"""),"MSNA / Protection Monitoring")</f>
        <v>MSNA / Protection Monitoring</v>
      </c>
      <c r="K92" s="648" t="str">
        <f ca="1">IFERROR(__xludf.DUMMYFUNCTION("""COMPUTED_VALUE"""),"&lt;5%")</f>
        <v>&lt;5%</v>
      </c>
      <c r="L92" s="648" t="str">
        <f ca="1">IFERROR(__xludf.DUMMYFUNCTION("""COMPUTED_VALUE"""),"5-10%")</f>
        <v>5-10%</v>
      </c>
      <c r="M92" s="648" t="str">
        <f ca="1">IFERROR(__xludf.DUMMYFUNCTION("""COMPUTED_VALUE"""),"11 to 20 %")</f>
        <v>11 to 20 %</v>
      </c>
      <c r="N92" s="648" t="str">
        <f ca="1">IFERROR(__xludf.DUMMYFUNCTION("""COMPUTED_VALUE"""),"21-30 %")</f>
        <v>21-30 %</v>
      </c>
      <c r="O92" s="648" t="str">
        <f ca="1">IFERROR(__xludf.DUMMYFUNCTION("""COMPUTED_VALUE"""),"Above 30 %")</f>
        <v>Above 30 %</v>
      </c>
      <c r="P92" s="648"/>
      <c r="Q92" s="372"/>
      <c r="R92" s="372"/>
      <c r="S92" s="372"/>
    </row>
    <row r="93" spans="1:19" s="259" customFormat="1" ht="12.5">
      <c r="A93" s="655">
        <f ca="1">IFERROR(__xludf.DUMMYFUNCTION("""COMPUTED_VALUE"""),84)</f>
        <v>84</v>
      </c>
      <c r="B93" s="648" t="str">
        <f ca="1">IFERROR(__xludf.DUMMYFUNCTION("""COMPUTED_VALUE"""),"Protection")</f>
        <v>Protection</v>
      </c>
      <c r="C93" s="648" t="str">
        <f ca="1">IFERROR(__xludf.DUMMYFUNCTION("""COMPUTED_VALUE"""),"MA")</f>
        <v>MA</v>
      </c>
      <c r="D93" s="648" t="str">
        <f ca="1">IFERROR(__xludf.DUMMYFUNCTION("""COMPUTED_VALUE"""),"Humanitarian Conditions")</f>
        <v>Humanitarian Conditions</v>
      </c>
      <c r="E93" s="648" t="str">
        <f ca="1">IFERROR(__xludf.DUMMYFUNCTION("""COMPUTED_VALUE"""),"Physical and Mental Wellbeing")</f>
        <v>Physical and Mental Wellbeing</v>
      </c>
      <c r="F93" s="648" t="str">
        <f ca="1">IFERROR(__xludf.DUMMYFUNCTION("""COMPUTED_VALUE"""),"% of persons whose disability is related to an explosive hazard by community (SADD)")</f>
        <v>% of persons whose disability is related to an explosive hazard by community (SADD)</v>
      </c>
      <c r="G93" s="648"/>
      <c r="H93" s="649">
        <f ca="1">IFERROR(__xludf.DUMMYFUNCTION("""COMPUTED_VALUE"""),1)</f>
        <v>1</v>
      </c>
      <c r="I93" s="648" t="str">
        <f ca="1">IFERROR(__xludf.DUMMYFUNCTION("""COMPUTED_VALUE"""),"HH Survey / KI")</f>
        <v>HH Survey / KI</v>
      </c>
      <c r="J93" s="648" t="str">
        <f ca="1">IFERROR(__xludf.DUMMYFUNCTION("""COMPUTED_VALUE"""),"MSNA / Protection Monitoring")</f>
        <v>MSNA / Protection Monitoring</v>
      </c>
      <c r="K93" s="648" t="str">
        <f ca="1">IFERROR(__xludf.DUMMYFUNCTION("""COMPUTED_VALUE"""),"No explosive ordnance
disability in the HH")</f>
        <v>No explosive ordnance
disability in the HH</v>
      </c>
      <c r="L93" s="648" t="str">
        <f ca="1">IFERROR(__xludf.DUMMYFUNCTION("""COMPUTED_VALUE"""),"No explosive ordnance
disability in the HH")</f>
        <v>No explosive ordnance
disability in the HH</v>
      </c>
      <c r="M93" s="648" t="str">
        <f ca="1">IFERROR(__xludf.DUMMYFUNCTION("""COMPUTED_VALUE"""),"No explosive ordnance
disability in the HH")</f>
        <v>No explosive ordnance
disability in the HH</v>
      </c>
      <c r="N93" s="648" t="str">
        <f ca="1">IFERROR(__xludf.DUMMYFUNCTION("""COMPUTED_VALUE"""),"HH member has disability with
a (a lot of difficulty) due to
explosive ordnance")</f>
        <v>HH member has disability with
a (a lot of difficulty) due to
explosive ordnance</v>
      </c>
      <c r="O93" s="648" t="str">
        <f ca="1">IFERROR(__xludf.DUMMYFUNCTION("""COMPUTED_VALUE"""),"HH member has disability with
(cannot do at all) due to
explosive ordnance")</f>
        <v>HH member has disability with
(cannot do at all) due to
explosive ordnance</v>
      </c>
      <c r="P93" s="648"/>
      <c r="Q93" s="372"/>
      <c r="R93" s="372"/>
      <c r="S93" s="372"/>
    </row>
    <row r="94" spans="1:19" s="259" customFormat="1" ht="12.5">
      <c r="A94" s="655">
        <f ca="1">IFERROR(__xludf.DUMMYFUNCTION("""COMPUTED_VALUE"""),85)</f>
        <v>85</v>
      </c>
      <c r="B94" s="648" t="str">
        <f ca="1">IFERROR(__xludf.DUMMYFUNCTION("""COMPUTED_VALUE"""),"Protection")</f>
        <v>Protection</v>
      </c>
      <c r="C94" s="648" t="str">
        <f ca="1">IFERROR(__xludf.DUMMYFUNCTION("""COMPUTED_VALUE"""),"MHPSS / CP / GBV")</f>
        <v>MHPSS / CP / GBV</v>
      </c>
      <c r="D94" s="648" t="str">
        <f ca="1">IFERROR(__xludf.DUMMYFUNCTION("""COMPUTED_VALUE"""),"Humanitarian Conditions")</f>
        <v>Humanitarian Conditions</v>
      </c>
      <c r="E94" s="648" t="str">
        <f ca="1">IFERROR(__xludf.DUMMYFUNCTION("""COMPUTED_VALUE"""),"Physical and Mental Wellbeing")</f>
        <v>Physical and Mental Wellbeing</v>
      </c>
      <c r="F94" s="648" t="str">
        <f ca="1">IFERROR(__xludf.DUMMYFUNCTION("""COMPUTED_VALUE"""),"% of HH where at least one member (SADD) is reporting signs of distress (self-diagnosed)")</f>
        <v>% of HH where at least one member (SADD) is reporting signs of distress (self-diagnosed)</v>
      </c>
      <c r="G94" s="648"/>
      <c r="H94" s="649">
        <f ca="1">IFERROR(__xludf.DUMMYFUNCTION("""COMPUTED_VALUE"""),1)</f>
        <v>1</v>
      </c>
      <c r="I94" s="648" t="str">
        <f ca="1">IFERROR(__xludf.DUMMYFUNCTION("""COMPUTED_VALUE"""),"HH Survey / KI")</f>
        <v>HH Survey / KI</v>
      </c>
      <c r="J94" s="648" t="str">
        <f ca="1">IFERROR(__xludf.DUMMYFUNCTION("""COMPUTED_VALUE"""),"MSNA / Protection Monitoring")</f>
        <v>MSNA / Protection Monitoring</v>
      </c>
      <c r="K94" s="648"/>
      <c r="L94" s="648"/>
      <c r="M94" s="648"/>
      <c r="N94" s="648"/>
      <c r="O94" s="648"/>
      <c r="P94" s="648"/>
      <c r="Q94" s="372"/>
      <c r="R94" s="372"/>
      <c r="S94" s="372"/>
    </row>
    <row r="95" spans="1:19" s="259" customFormat="1" ht="12.5">
      <c r="A95" s="655">
        <f ca="1">IFERROR(__xludf.DUMMYFUNCTION("""COMPUTED_VALUE"""),86)</f>
        <v>86</v>
      </c>
      <c r="B95" s="648" t="str">
        <f ca="1">IFERROR(__xludf.DUMMYFUNCTION("""COMPUTED_VALUE"""),"Protection")</f>
        <v>Protection</v>
      </c>
      <c r="C95" s="648" t="str">
        <f ca="1">IFERROR(__xludf.DUMMYFUNCTION("""COMPUTED_VALUE"""),"Protection")</f>
        <v>Protection</v>
      </c>
      <c r="D95" s="648" t="str">
        <f ca="1">IFERROR(__xludf.DUMMYFUNCTION("""COMPUTED_VALUE"""),"Humanitarian Conditions")</f>
        <v>Humanitarian Conditions</v>
      </c>
      <c r="E95" s="648" t="str">
        <f ca="1">IFERROR(__xludf.DUMMYFUNCTION("""COMPUTED_VALUE"""),"Coping Mechanisms")</f>
        <v>Coping Mechanisms</v>
      </c>
      <c r="F95" s="648" t="str">
        <f ca="1">IFERROR(__xludf.DUMMYFUNCTION("""COMPUTED_VALUE"""),"% of HHs engaging in harmful coping mechanisms in the last 30 days")</f>
        <v>% of HHs engaging in harmful coping mechanisms in the last 30 days</v>
      </c>
      <c r="G95" s="648"/>
      <c r="H95" s="649">
        <f ca="1">IFERROR(__xludf.DUMMYFUNCTION("""COMPUTED_VALUE"""),1)</f>
        <v>1</v>
      </c>
      <c r="I95" s="648" t="str">
        <f ca="1">IFERROR(__xludf.DUMMYFUNCTION("""COMPUTED_VALUE"""),"HH Survey")</f>
        <v>HH Survey</v>
      </c>
      <c r="J95" s="648" t="str">
        <f ca="1">IFERROR(__xludf.DUMMYFUNCTION("""COMPUTED_VALUE"""),"MSNA / Protection Monitoring")</f>
        <v>MSNA / Protection Monitoring</v>
      </c>
      <c r="K95" s="648" t="str">
        <f ca="1">IFERROR(__xludf.DUMMYFUNCTION("""COMPUTED_VALUE"""),"No harmful coping strategy")</f>
        <v>No harmful coping strategy</v>
      </c>
      <c r="L95" s="648" t="str">
        <f ca="1">IFERROR(__xludf.DUMMYFUNCTION("""COMPUTED_VALUE"""),"No harmful coping strategy")</f>
        <v>No harmful coping strategy</v>
      </c>
      <c r="M95" s="648" t="str">
        <f ca="1">IFERROR(__xludf.DUMMYFUNCTION("""COMPUTED_VALUE"""),"selected: Selling household
property; Buying food on credit;
Borrowing money through
friends and relatives; Reducing
expenditures on NFI")</f>
        <v>selected: Selling household
property; Buying food on credit;
Borrowing money through
friends and relatives; Reducing
expenditures on NFI</v>
      </c>
      <c r="N95" s="648" t="str">
        <f ca="1">IFERROR(__xludf.DUMMYFUNCTION("""COMPUTED_VALUE"""),"HH Selected: Selling means of
transport; Changing place of
residence; Children under 18
working to provide resources")</f>
        <v>HH Selected: Selling means of
transport; Changing place of
residence; Children under 18
working to provide resources</v>
      </c>
      <c r="O95" s="648" t="str">
        <f ca="1">IFERROR(__xludf.DUMMYFUNCTION("""COMPUTED_VALUE"""),"HH Selected: Children dropping
out from school; Accepting that
adults engage in risky behavior;
Migration of all family; Children
or adult forcefully married")</f>
        <v>HH Selected: Children dropping
out from school; Accepting that
adults engage in risky behavior;
Migration of all family; Children
or adult forcefully married</v>
      </c>
      <c r="P95" s="648"/>
      <c r="Q95" s="372"/>
      <c r="R95" s="372"/>
      <c r="S95" s="372"/>
    </row>
    <row r="96" spans="1:19" s="259" customFormat="1" ht="12.5">
      <c r="A96" s="655">
        <f ca="1">IFERROR(__xludf.DUMMYFUNCTION("""COMPUTED_VALUE"""),87)</f>
        <v>87</v>
      </c>
      <c r="B96" s="648" t="str">
        <f ca="1">IFERROR(__xludf.DUMMYFUNCTION("""COMPUTED_VALUE"""),"Protection")</f>
        <v>Protection</v>
      </c>
      <c r="C96" s="648" t="str">
        <f ca="1">IFERROR(__xludf.DUMMYFUNCTION("""COMPUTED_VALUE"""),"Protection")</f>
        <v>Protection</v>
      </c>
      <c r="D96" s="648" t="str">
        <f ca="1">IFERROR(__xludf.DUMMYFUNCTION("""COMPUTED_VALUE"""),"Humanitarian Conditions")</f>
        <v>Humanitarian Conditions</v>
      </c>
      <c r="E96" s="648" t="str">
        <f ca="1">IFERROR(__xludf.DUMMYFUNCTION("""COMPUTED_VALUE"""),"Living Standards")</f>
        <v>Living Standards</v>
      </c>
      <c r="F96" s="648" t="str">
        <f ca="1">IFERROR(__xludf.DUMMYFUNCTION("""COMPUTED_VALUE"""),"% of HH members without valid civil documentation and unable to obtain them")</f>
        <v>% of HH members without valid civil documentation and unable to obtain them</v>
      </c>
      <c r="G96" s="648"/>
      <c r="H96" s="649">
        <f ca="1">IFERROR(__xludf.DUMMYFUNCTION("""COMPUTED_VALUE"""),1)</f>
        <v>1</v>
      </c>
      <c r="I96" s="648" t="str">
        <f ca="1">IFERROR(__xludf.DUMMYFUNCTION("""COMPUTED_VALUE"""),"HH Survey")</f>
        <v>HH Survey</v>
      </c>
      <c r="J96" s="648" t="str">
        <f ca="1">IFERROR(__xludf.DUMMYFUNCTION("""COMPUTED_VALUE"""),"MSNA / Protection Monitoring")</f>
        <v>MSNA / Protection Monitoring</v>
      </c>
      <c r="K96" s="648" t="str">
        <f ca="1">IFERROR(__xludf.DUMMYFUNCTION("""COMPUTED_VALUE"""),"All household members have valid documentation, including birth certificate, ID card and passport")</f>
        <v>All household members have valid documentation, including birth certificate, ID card and passport</v>
      </c>
      <c r="L96" s="648" t="str">
        <f ca="1">IFERROR(__xludf.DUMMYFUNCTION("""COMPUTED_VALUE"""),"All household members have valid documentation, including birth certificate and ID card")</f>
        <v>All household members have valid documentation, including birth certificate and ID card</v>
      </c>
      <c r="M96" s="648" t="str">
        <f ca="1">IFERROR(__xludf.DUMMYFUNCTION("""COMPUTED_VALUE"""),"At least one member of the HH don’t have valid ID card or passport but can obtain new ones")</f>
        <v>At least one member of the HH don’t have valid ID card or passport but can obtain new ones</v>
      </c>
      <c r="N96" s="648" t="str">
        <f ca="1">IFERROR(__xludf.DUMMYFUNCTION("""COMPUTED_VALUE"""),"At least one member of the HH don’t have valid ID card or passport and can’t obtain new ones")</f>
        <v>At least one member of the HH don’t have valid ID card or passport and can’t obtain new ones</v>
      </c>
      <c r="O96" s="648" t="str">
        <f ca="1">IFERROR(__xludf.DUMMYFUNCTION("""COMPUTED_VALUE"""),"At least one member of the HH don’t have birth certificate")</f>
        <v>At least one member of the HH don’t have birth certificate</v>
      </c>
      <c r="P96" s="648"/>
      <c r="Q96" s="372"/>
      <c r="R96" s="372"/>
      <c r="S96" s="372"/>
    </row>
    <row r="97" spans="1:19" s="259" customFormat="1" ht="12.5">
      <c r="A97" s="655">
        <f ca="1">IFERROR(__xludf.DUMMYFUNCTION("""COMPUTED_VALUE"""),88)</f>
        <v>88</v>
      </c>
      <c r="B97" s="648" t="str">
        <f ca="1">IFERROR(__xludf.DUMMYFUNCTION("""COMPUTED_VALUE"""),"Protection")</f>
        <v>Protection</v>
      </c>
      <c r="C97" s="648" t="str">
        <f ca="1">IFERROR(__xludf.DUMMYFUNCTION("""COMPUTED_VALUE"""),"Protection")</f>
        <v>Protection</v>
      </c>
      <c r="D97" s="648" t="str">
        <f ca="1">IFERROR(__xludf.DUMMYFUNCTION("""COMPUTED_VALUE"""),"Humanitarian Conditions")</f>
        <v>Humanitarian Conditions</v>
      </c>
      <c r="E97" s="648" t="str">
        <f ca="1">IFERROR(__xludf.DUMMYFUNCTION("""COMPUTED_VALUE"""),"Living Standards")</f>
        <v>Living Standards</v>
      </c>
      <c r="F97" s="648" t="str">
        <f ca="1">IFERROR(__xludf.DUMMYFUNCTION("""COMPUTED_VALUE"""),"% of HHs reporting protection issues when accessing humanitarian assistance in the last 3 months")</f>
        <v>% of HHs reporting protection issues when accessing humanitarian assistance in the last 3 months</v>
      </c>
      <c r="G97" s="648"/>
      <c r="H97" s="649">
        <f ca="1">IFERROR(__xludf.DUMMYFUNCTION("""COMPUTED_VALUE"""),2)</f>
        <v>2</v>
      </c>
      <c r="I97" s="648" t="str">
        <f ca="1">IFERROR(__xludf.DUMMYFUNCTION("""COMPUTED_VALUE"""),"HH Survey")</f>
        <v>HH Survey</v>
      </c>
      <c r="J97" s="648" t="str">
        <f ca="1">IFERROR(__xludf.DUMMYFUNCTION("""COMPUTED_VALUE"""),"MSNA / Protection Monitoring")</f>
        <v>MSNA / Protection Monitoring</v>
      </c>
      <c r="K97" s="648" t="str">
        <f ca="1">IFERROR(__xludf.DUMMYFUNCTION("""COMPUTED_VALUE"""),"&lt; 20%")</f>
        <v>&lt; 20%</v>
      </c>
      <c r="L97" s="648" t="str">
        <f ca="1">IFERROR(__xludf.DUMMYFUNCTION("""COMPUTED_VALUE"""),"20% - 30%")</f>
        <v>20% - 30%</v>
      </c>
      <c r="M97" s="648" t="str">
        <f ca="1">IFERROR(__xludf.DUMMYFUNCTION("""COMPUTED_VALUE"""),"30% - 40%")</f>
        <v>30% - 40%</v>
      </c>
      <c r="N97" s="648" t="str">
        <f ca="1">IFERROR(__xludf.DUMMYFUNCTION("""COMPUTED_VALUE"""),"40% - 50%")</f>
        <v>40% - 50%</v>
      </c>
      <c r="O97" s="648" t="str">
        <f ca="1">IFERROR(__xludf.DUMMYFUNCTION("""COMPUTED_VALUE"""),"&gt; 50%")</f>
        <v>&gt; 50%</v>
      </c>
      <c r="P97" s="648"/>
      <c r="Q97" s="372"/>
      <c r="R97" s="372"/>
      <c r="S97" s="372"/>
    </row>
    <row r="98" spans="1:19" s="259" customFormat="1" ht="12.5">
      <c r="A98" s="655">
        <f ca="1">IFERROR(__xludf.DUMMYFUNCTION("""COMPUTED_VALUE"""),89)</f>
        <v>89</v>
      </c>
      <c r="B98" s="648" t="str">
        <f ca="1">IFERROR(__xludf.DUMMYFUNCTION("""COMPUTED_VALUE"""),"Protection")</f>
        <v>Protection</v>
      </c>
      <c r="C98" s="648" t="str">
        <f ca="1">IFERROR(__xludf.DUMMYFUNCTION("""COMPUTED_VALUE"""),"Protection")</f>
        <v>Protection</v>
      </c>
      <c r="D98" s="648" t="str">
        <f ca="1">IFERROR(__xludf.DUMMYFUNCTION("""COMPUTED_VALUE"""),"Humanitarian Conditions")</f>
        <v>Humanitarian Conditions</v>
      </c>
      <c r="E98" s="648" t="str">
        <f ca="1">IFERROR(__xludf.DUMMYFUNCTION("""COMPUTED_VALUE"""),"Living Standards")</f>
        <v>Living Standards</v>
      </c>
      <c r="F98" s="648" t="str">
        <f ca="1">IFERROR(__xludf.DUMMYFUNCTION("""COMPUTED_VALUE"""),"% of HHs that have experienced movement restrictions in the last 3 months")</f>
        <v>% of HHs that have experienced movement restrictions in the last 3 months</v>
      </c>
      <c r="G98" s="648"/>
      <c r="H98" s="649">
        <f ca="1">IFERROR(__xludf.DUMMYFUNCTION("""COMPUTED_VALUE"""),1)</f>
        <v>1</v>
      </c>
      <c r="I98" s="648" t="str">
        <f ca="1">IFERROR(__xludf.DUMMYFUNCTION("""COMPUTED_VALUE"""),"HH Survey / KI")</f>
        <v>HH Survey / KI</v>
      </c>
      <c r="J98" s="648" t="str">
        <f ca="1">IFERROR(__xludf.DUMMYFUNCTION("""COMPUTED_VALUE"""),"MSNA / Protection Monitoring")</f>
        <v>MSNA / Protection Monitoring</v>
      </c>
      <c r="K98" s="648" t="str">
        <f ca="1">IFERROR(__xludf.DUMMYFUNCTION("""COMPUTED_VALUE"""),"HHs: Total freedom of movement inside or to another country
Area: 0%")</f>
        <v>HHs: Total freedom of movement inside or to another country
Area: 0%</v>
      </c>
      <c r="L98" s="648" t="str">
        <f ca="1">IFERROR(__xludf.DUMMYFUNCTION("""COMPUTED_VALUE"""),"HHs: Total freedom of movement inside the country
Area: 1-10%")</f>
        <v>HHs: Total freedom of movement inside the country
Area: 1-10%</v>
      </c>
      <c r="M98" s="648" t="str">
        <f ca="1">IFERROR(__xludf.DUMMYFUNCTION("""COMPUTED_VALUE"""),"HHs: Total freedom of movement inside the same province / district
Area: 20-40%")</f>
        <v>HHs: Total freedom of movement inside the same province / district
Area: 20-40%</v>
      </c>
      <c r="N98" s="648" t="str">
        <f ca="1">IFERROR(__xludf.DUMMYFUNCTION("""COMPUTED_VALUE"""),"HHs: No possibility for household members to move outside their site / community
Area: 40-60%")</f>
        <v>HHs: No possibility for household members to move outside their site / community
Area: 40-60%</v>
      </c>
      <c r="O98" s="648" t="str">
        <f ca="1">IFERROR(__xludf.DUMMYFUNCTION("""COMPUTED_VALUE"""),"HHs: No possibility for household members to move within their site / community
Area: 60%")</f>
        <v>HHs: No possibility for household members to move within their site / community
Area: 60%</v>
      </c>
      <c r="P98" s="648"/>
      <c r="Q98" s="372"/>
      <c r="R98" s="372"/>
      <c r="S98" s="372"/>
    </row>
    <row r="99" spans="1:19" s="259" customFormat="1" ht="12.5">
      <c r="A99" s="655">
        <f ca="1">IFERROR(__xludf.DUMMYFUNCTION("""COMPUTED_VALUE"""),90)</f>
        <v>90</v>
      </c>
      <c r="B99" s="648" t="str">
        <f ca="1">IFERROR(__xludf.DUMMYFUNCTION("""COMPUTED_VALUE"""),"Protection")</f>
        <v>Protection</v>
      </c>
      <c r="C99" s="648" t="str">
        <f ca="1">IFERROR(__xludf.DUMMYFUNCTION("""COMPUTED_VALUE"""),"Protection")</f>
        <v>Protection</v>
      </c>
      <c r="D99" s="648" t="str">
        <f ca="1">IFERROR(__xludf.DUMMYFUNCTION("""COMPUTED_VALUE"""),"Humanitarian Conditions")</f>
        <v>Humanitarian Conditions</v>
      </c>
      <c r="E99" s="648" t="str">
        <f ca="1">IFERROR(__xludf.DUMMYFUNCTION("""COMPUTED_VALUE"""),"Living Standards")</f>
        <v>Living Standards</v>
      </c>
      <c r="F99" s="648" t="str">
        <f ca="1">IFERROR(__xludf.DUMMYFUNCTION("""COMPUTED_VALUE"""),"% of HHs without access to official law enforcement authorities and/or judiciary system")</f>
        <v>% of HHs without access to official law enforcement authorities and/or judiciary system</v>
      </c>
      <c r="G99" s="648"/>
      <c r="H99" s="649">
        <f ca="1">IFERROR(__xludf.DUMMYFUNCTION("""COMPUTED_VALUE"""),2)</f>
        <v>2</v>
      </c>
      <c r="I99" s="648" t="str">
        <f ca="1">IFERROR(__xludf.DUMMYFUNCTION("""COMPUTED_VALUE"""),"HH Survey / KI")</f>
        <v>HH Survey / KI</v>
      </c>
      <c r="J99" s="648" t="str">
        <f ca="1">IFERROR(__xludf.DUMMYFUNCTION("""COMPUTED_VALUE"""),"MSNA / Protection Monitoring / Service mapping")</f>
        <v>MSNA / Protection Monitoring / Service mapping</v>
      </c>
      <c r="K99" s="648" t="str">
        <f ca="1">IFERROR(__xludf.DUMMYFUNCTION("""COMPUTED_VALUE"""),"&lt; 20%")</f>
        <v>&lt; 20%</v>
      </c>
      <c r="L99" s="648" t="str">
        <f ca="1">IFERROR(__xludf.DUMMYFUNCTION("""COMPUTED_VALUE"""),"20% - 30%")</f>
        <v>20% - 30%</v>
      </c>
      <c r="M99" s="648" t="str">
        <f ca="1">IFERROR(__xludf.DUMMYFUNCTION("""COMPUTED_VALUE"""),"30% - 40%")</f>
        <v>30% - 40%</v>
      </c>
      <c r="N99" s="648" t="str">
        <f ca="1">IFERROR(__xludf.DUMMYFUNCTION("""COMPUTED_VALUE"""),"40% - 50%")</f>
        <v>40% - 50%</v>
      </c>
      <c r="O99" s="648" t="str">
        <f ca="1">IFERROR(__xludf.DUMMYFUNCTION("""COMPUTED_VALUE"""),"&gt; 50%")</f>
        <v>&gt; 50%</v>
      </c>
      <c r="P99" s="648"/>
      <c r="Q99" s="372"/>
      <c r="R99" s="372"/>
      <c r="S99" s="372"/>
    </row>
    <row r="100" spans="1:19" s="259" customFormat="1" ht="12.5">
      <c r="A100" s="655">
        <f ca="1">IFERROR(__xludf.DUMMYFUNCTION("""COMPUTED_VALUE"""),91)</f>
        <v>91</v>
      </c>
      <c r="B100" s="648" t="str">
        <f ca="1">IFERROR(__xludf.DUMMYFUNCTION("""COMPUTED_VALUE"""),"Protection")</f>
        <v>Protection</v>
      </c>
      <c r="C100" s="648" t="str">
        <f ca="1">IFERROR(__xludf.DUMMYFUNCTION("""COMPUTED_VALUE"""),"Protection")</f>
        <v>Protection</v>
      </c>
      <c r="D100" s="648" t="str">
        <f ca="1">IFERROR(__xludf.DUMMYFUNCTION("""COMPUTED_VALUE"""),"Humanitarian Conditions")</f>
        <v>Humanitarian Conditions</v>
      </c>
      <c r="E100" s="648" t="str">
        <f ca="1">IFERROR(__xludf.DUMMYFUNCTION("""COMPUTED_VALUE"""),"Living Standards")</f>
        <v>Living Standards</v>
      </c>
      <c r="F100" s="648" t="str">
        <f ca="1">IFERROR(__xludf.DUMMYFUNCTION("""COMPUTED_VALUE"""),"% of population in specific groups excluded or with limited access to services (i.e. UASC, persons with disabilities, older persons, minority groups, etc.)")</f>
        <v>% of population in specific groups excluded or with limited access to services (i.e. UASC, persons with disabilities, older persons, minority groups, etc.)</v>
      </c>
      <c r="G100" s="648"/>
      <c r="H100" s="649">
        <f ca="1">IFERROR(__xludf.DUMMYFUNCTION("""COMPUTED_VALUE"""),1)</f>
        <v>1</v>
      </c>
      <c r="I100" s="648" t="str">
        <f ca="1">IFERROR(__xludf.DUMMYFUNCTION("""COMPUTED_VALUE"""),"KI")</f>
        <v>KI</v>
      </c>
      <c r="J100" s="648" t="str">
        <f ca="1">IFERROR(__xludf.DUMMYFUNCTION("""COMPUTED_VALUE"""),"Protection Monitoring")</f>
        <v>Protection Monitoring</v>
      </c>
      <c r="K100" s="648" t="str">
        <f ca="1">IFERROR(__xludf.DUMMYFUNCTION("""COMPUTED_VALUE"""),"&lt; 30%")</f>
        <v>&lt; 30%</v>
      </c>
      <c r="L100" s="648" t="str">
        <f ca="1">IFERROR(__xludf.DUMMYFUNCTION("""COMPUTED_VALUE"""),"30% - 45%")</f>
        <v>30% - 45%</v>
      </c>
      <c r="M100" s="648" t="str">
        <f ca="1">IFERROR(__xludf.DUMMYFUNCTION("""COMPUTED_VALUE"""),"45% - 60%")</f>
        <v>45% - 60%</v>
      </c>
      <c r="N100" s="648" t="str">
        <f ca="1">IFERROR(__xludf.DUMMYFUNCTION("""COMPUTED_VALUE"""),"60% - 75%")</f>
        <v>60% - 75%</v>
      </c>
      <c r="O100" s="648" t="str">
        <f ca="1">IFERROR(__xludf.DUMMYFUNCTION("""COMPUTED_VALUE"""),"&gt; 75%")</f>
        <v>&gt; 75%</v>
      </c>
      <c r="P100" s="648"/>
      <c r="Q100" s="372"/>
      <c r="R100" s="372"/>
      <c r="S100" s="372"/>
    </row>
    <row r="101" spans="1:19" s="259" customFormat="1" ht="12.5">
      <c r="A101" s="655">
        <f ca="1">IFERROR(__xludf.DUMMYFUNCTION("""COMPUTED_VALUE"""),92)</f>
        <v>92</v>
      </c>
      <c r="B101" s="648" t="str">
        <f ca="1">IFERROR(__xludf.DUMMYFUNCTION("""COMPUTED_VALUE"""),"Protection")</f>
        <v>Protection</v>
      </c>
      <c r="C101" s="648" t="str">
        <f ca="1">IFERROR(__xludf.DUMMYFUNCTION("""COMPUTED_VALUE"""),"Protection")</f>
        <v>Protection</v>
      </c>
      <c r="D101" s="648" t="str">
        <f ca="1">IFERROR(__xludf.DUMMYFUNCTION("""COMPUTED_VALUE"""),"Humanitarian Conditions")</f>
        <v>Humanitarian Conditions</v>
      </c>
      <c r="E101" s="648" t="str">
        <f ca="1">IFERROR(__xludf.DUMMYFUNCTION("""COMPUTED_VALUE"""),"Physical and Mental Wellbeing")</f>
        <v>Physical and Mental Wellbeing</v>
      </c>
      <c r="F101" s="648" t="str">
        <f ca="1">IFERROR(__xludf.DUMMYFUNCTION("""COMPUTED_VALUE"""),"Civilian population killed or injured by violence, conflict or natural hazards")</f>
        <v>Civilian population killed or injured by violence, conflict or natural hazards</v>
      </c>
      <c r="G101" s="648"/>
      <c r="H101" s="649">
        <f ca="1">IFERROR(__xludf.DUMMYFUNCTION("""COMPUTED_VALUE"""),1)</f>
        <v>1</v>
      </c>
      <c r="I101" s="648" t="str">
        <f ca="1">IFERROR(__xludf.DUMMYFUNCTION("""COMPUTED_VALUE"""),"KI")</f>
        <v>KI</v>
      </c>
      <c r="J101" s="648" t="str">
        <f ca="1">IFERROR(__xludf.DUMMYFUNCTION("""COMPUTED_VALUE"""),"UNDSS / ACLED / Media Monitoring")</f>
        <v>UNDSS / ACLED / Media Monitoring</v>
      </c>
      <c r="K101" s="648"/>
      <c r="L101" s="648"/>
      <c r="M101" s="648"/>
      <c r="N101" s="648"/>
      <c r="O101" s="648"/>
      <c r="P101" s="648"/>
      <c r="Q101" s="372"/>
      <c r="R101" s="372"/>
      <c r="S101" s="372"/>
    </row>
    <row r="102" spans="1:19" s="259" customFormat="1" ht="12.5">
      <c r="A102" s="655">
        <f ca="1">IFERROR(__xludf.DUMMYFUNCTION("""COMPUTED_VALUE"""),93)</f>
        <v>93</v>
      </c>
      <c r="B102" s="648" t="str">
        <f ca="1">IFERROR(__xludf.DUMMYFUNCTION("""COMPUTED_VALUE"""),"Protection")</f>
        <v>Protection</v>
      </c>
      <c r="C102" s="648" t="str">
        <f ca="1">IFERROR(__xludf.DUMMYFUNCTION("""COMPUTED_VALUE"""),"Protection")</f>
        <v>Protection</v>
      </c>
      <c r="D102" s="648" t="str">
        <f ca="1">IFERROR(__xludf.DUMMYFUNCTION("""COMPUTED_VALUE"""),"Humanitarian Conditions")</f>
        <v>Humanitarian Conditions</v>
      </c>
      <c r="E102" s="648" t="str">
        <f ca="1">IFERROR(__xludf.DUMMYFUNCTION("""COMPUTED_VALUE"""),"Physical and Mental Wellbeing")</f>
        <v>Physical and Mental Wellbeing</v>
      </c>
      <c r="F102" s="648" t="str">
        <f ca="1">IFERROR(__xludf.DUMMYFUNCTION("""COMPUTED_VALUE"""),"% of population in sites/communities reporting protection incidents in the last 3 months")</f>
        <v>% of population in sites/communities reporting protection incidents in the last 3 months</v>
      </c>
      <c r="G102" s="648"/>
      <c r="H102" s="649">
        <f ca="1">IFERROR(__xludf.DUMMYFUNCTION("""COMPUTED_VALUE"""),1)</f>
        <v>1</v>
      </c>
      <c r="I102" s="648" t="str">
        <f ca="1">IFERROR(__xludf.DUMMYFUNCTION("""COMPUTED_VALUE"""),"KI")</f>
        <v>KI</v>
      </c>
      <c r="J102" s="648" t="str">
        <f ca="1">IFERROR(__xludf.DUMMYFUNCTION("""COMPUTED_VALUE"""),"Protection Monitoring")</f>
        <v>Protection Monitoring</v>
      </c>
      <c r="K102" s="648" t="str">
        <f ca="1">IFERROR(__xludf.DUMMYFUNCTION("""COMPUTED_VALUE"""),"&lt; 20%")</f>
        <v>&lt; 20%</v>
      </c>
      <c r="L102" s="648" t="str">
        <f ca="1">IFERROR(__xludf.DUMMYFUNCTION("""COMPUTED_VALUE"""),"20% - 30%")</f>
        <v>20% - 30%</v>
      </c>
      <c r="M102" s="648" t="str">
        <f ca="1">IFERROR(__xludf.DUMMYFUNCTION("""COMPUTED_VALUE"""),"30% - 40%")</f>
        <v>30% - 40%</v>
      </c>
      <c r="N102" s="648" t="str">
        <f ca="1">IFERROR(__xludf.DUMMYFUNCTION("""COMPUTED_VALUE"""),"40% - 50%")</f>
        <v>40% - 50%</v>
      </c>
      <c r="O102" s="648" t="str">
        <f ca="1">IFERROR(__xludf.DUMMYFUNCTION("""COMPUTED_VALUE"""),"&gt; 50%")</f>
        <v>&gt; 50%</v>
      </c>
      <c r="P102" s="648"/>
      <c r="Q102" s="372"/>
      <c r="R102" s="372"/>
      <c r="S102" s="372"/>
    </row>
    <row r="103" spans="1:19" s="259" customFormat="1" ht="12.5">
      <c r="A103" s="655">
        <f ca="1">IFERROR(__xludf.DUMMYFUNCTION("""COMPUTED_VALUE"""),94)</f>
        <v>94</v>
      </c>
      <c r="B103" s="648" t="str">
        <f ca="1">IFERROR(__xludf.DUMMYFUNCTION("""COMPUTED_VALUE"""),"Protection")</f>
        <v>Protection</v>
      </c>
      <c r="C103" s="648" t="str">
        <f ca="1">IFERROR(__xludf.DUMMYFUNCTION("""COMPUTED_VALUE"""),"Protection")</f>
        <v>Protection</v>
      </c>
      <c r="D103" s="648" t="str">
        <f ca="1">IFERROR(__xludf.DUMMYFUNCTION("""COMPUTED_VALUE"""),"Humanitarian Conditions")</f>
        <v>Humanitarian Conditions</v>
      </c>
      <c r="E103" s="648" t="str">
        <f ca="1">IFERROR(__xludf.DUMMYFUNCTION("""COMPUTED_VALUE"""),"Physical and Mental Wellbeing")</f>
        <v>Physical and Mental Wellbeing</v>
      </c>
      <c r="F103" s="648" t="str">
        <f ca="1">IFERROR(__xludf.DUMMYFUNCTION("""COMPUTED_VALUE"""),"% of HHs who have suffered incidents affecting HH members in the last 3 months")</f>
        <v>% of HHs who have suffered incidents affecting HH members in the last 3 months</v>
      </c>
      <c r="G103" s="648"/>
      <c r="H103" s="649">
        <f ca="1">IFERROR(__xludf.DUMMYFUNCTION("""COMPUTED_VALUE"""),1)</f>
        <v>1</v>
      </c>
      <c r="I103" s="648" t="str">
        <f ca="1">IFERROR(__xludf.DUMMYFUNCTION("""COMPUTED_VALUE"""),"HH Survey / KI")</f>
        <v>HH Survey / KI</v>
      </c>
      <c r="J103" s="648" t="str">
        <f ca="1">IFERROR(__xludf.DUMMYFUNCTION("""COMPUTED_VALUE"""),"Protection Monitoring/MSNA")</f>
        <v>Protection Monitoring/MSNA</v>
      </c>
      <c r="K103" s="648" t="str">
        <f ca="1">IFERROR(__xludf.DUMMYFUNCTION("""COMPUTED_VALUE"""),"HH: No security incidents in the last XX days/months
Area: 0%")</f>
        <v>HH: No security incidents in the last XX days/months
Area: 0%</v>
      </c>
      <c r="L103" s="648" t="str">
        <f ca="1">IFERROR(__xludf.DUMMYFUNCTION("""COMPUTED_VALUE"""),"HHs: Verbally threatened or intimidated
Area: 1-10% HHs have suffered incidents")</f>
        <v>HHs: Verbally threatened or intimidated
Area: 1-10% HHs have suffered incidents</v>
      </c>
      <c r="M103" s="648" t="str">
        <f ca="1">IFERROR(__xludf.DUMMYFUNCTION("""COMPUTED_VALUE"""),"HHs: At least one serious incident in the last XX days/months
Area: 20-40% HHs have suffered incidents")</f>
        <v>HHs: At least one serious incident in the last XX days/months
Area: 20-40% HHs have suffered incidents</v>
      </c>
      <c r="N103" s="648" t="str">
        <f ca="1">IFERROR(__xludf.DUMMYFUNCTION("""COMPUTED_VALUE"""),"HHs: At least one severe incident in the last XX months OR At least 2 serious incidents OR
Area: 40-60% HHs have suffered incidents")</f>
        <v>HHs: At least one severe incident in the last XX months OR At least 2 serious incidents OR
Area: 40-60% HHs have suffered incidents</v>
      </c>
      <c r="O103" s="648" t="str">
        <f ca="1">IFERROR(__xludf.DUMMYFUNCTION("""COMPUTED_VALUE"""),"HHs: At least one critical incident in the last XX days/months OR At least 2 Severe incidents
Area: &gt;60% HHs have suffered incidents")</f>
        <v>HHs: At least one critical incident in the last XX days/months OR At least 2 Severe incidents
Area: &gt;60% HHs have suffered incidents</v>
      </c>
      <c r="P103" s="648" t="str">
        <f ca="1">IFERROR(__xludf.DUMMYFUNCTION("""COMPUTED_VALUE"""),"More appropiate in the context of protection monitoring systems linked to referrals and where questions can be asked to different HH members.")</f>
        <v>More appropiate in the context of protection monitoring systems linked to referrals and where questions can be asked to different HH members.</v>
      </c>
      <c r="Q103" s="372"/>
      <c r="R103" s="372"/>
      <c r="S103" s="372"/>
    </row>
    <row r="104" spans="1:19" s="259" customFormat="1" ht="12.5">
      <c r="A104" s="655">
        <f ca="1">IFERROR(__xludf.DUMMYFUNCTION("""COMPUTED_VALUE"""),95)</f>
        <v>95</v>
      </c>
      <c r="B104" s="648" t="str">
        <f ca="1">IFERROR(__xludf.DUMMYFUNCTION("""COMPUTED_VALUE"""),"Protection")</f>
        <v>Protection</v>
      </c>
      <c r="C104" s="648" t="str">
        <f ca="1">IFERROR(__xludf.DUMMYFUNCTION("""COMPUTED_VALUE"""),"Protection")</f>
        <v>Protection</v>
      </c>
      <c r="D104" s="648" t="str">
        <f ca="1">IFERROR(__xludf.DUMMYFUNCTION("""COMPUTED_VALUE"""),"Humanitarian Conditions")</f>
        <v>Humanitarian Conditions</v>
      </c>
      <c r="E104" s="648" t="str">
        <f ca="1">IFERROR(__xludf.DUMMYFUNCTION("""COMPUTED_VALUE"""),"Physical and Mental Wellbeing")</f>
        <v>Physical and Mental Wellbeing</v>
      </c>
      <c r="F104" s="648" t="str">
        <f ca="1">IFERROR(__xludf.DUMMYFUNCTION("""COMPUTED_VALUE"""),"% of HHs reporting concerns from any harm, physical threaths or discrimination in the area where they are livingin the last 3 months")</f>
        <v>% of HHs reporting concerns from any harm, physical threaths or discrimination in the area where they are livingin the last 3 months</v>
      </c>
      <c r="G104" s="648"/>
      <c r="H104" s="649">
        <f ca="1">IFERROR(__xludf.DUMMYFUNCTION("""COMPUTED_VALUE"""),1)</f>
        <v>1</v>
      </c>
      <c r="I104" s="648" t="str">
        <f ca="1">IFERROR(__xludf.DUMMYFUNCTION("""COMPUTED_VALUE"""),"HH Survey / KI")</f>
        <v>HH Survey / KI</v>
      </c>
      <c r="J104" s="648" t="str">
        <f ca="1">IFERROR(__xludf.DUMMYFUNCTION("""COMPUTED_VALUE"""),"MSNA / Protection Monitoring")</f>
        <v>MSNA / Protection Monitoring</v>
      </c>
      <c r="K104" s="648" t="str">
        <f ca="1">IFERROR(__xludf.DUMMYFUNCTION("""COMPUTED_VALUE"""),"HHs: Sometimes worried about theft or harassment or small/medium injuries OR
Sometimes worried about death, EOs OR abduction
Area: 0%")</f>
        <v>HHs: Sometimes worried about theft or harassment or small/medium injuries OR
Sometimes worried about death, EOs OR abduction
Area: 0%</v>
      </c>
      <c r="L104" s="648" t="str">
        <f ca="1">IFERROR(__xludf.DUMMYFUNCTION("""COMPUTED_VALUE"""),"HHs: Always worried about small/medium injuries OR theft / harassment
Area: 1-10%")</f>
        <v>HHs: Always worried about small/medium injuries OR theft / harassment
Area: 1-10%</v>
      </c>
      <c r="M104" s="648" t="str">
        <f ca="1">IFERROR(__xludf.DUMMYFUNCTION("""COMPUTED_VALUE"""),"HHs: Sometimes worried about sexual violence OR grave injuries
Area: 20-40% HHs reporting security concerns")</f>
        <v>HHs: Sometimes worried about sexual violence OR grave injuries
Area: 20-40% HHs reporting security concerns</v>
      </c>
      <c r="N104" s="648" t="str">
        <f ca="1">IFERROR(__xludf.DUMMYFUNCTION("""COMPUTED_VALUE"""),"HHs: Always worried about sexual violence OR grave injuries OR Sometimes worried about death, EOs OR abduction
Area: 40-60% HHs reporting security concerns")</f>
        <v>HHs: Always worried about sexual violence OR grave injuries OR Sometimes worried about death, EOs OR abduction
Area: 40-60% HHs reporting security concerns</v>
      </c>
      <c r="O104" s="648" t="str">
        <f ca="1">IFERROR(__xludf.DUMMYFUNCTION("""COMPUTED_VALUE"""),"Always worried about death OR abduction OR EOs
Area: 60% HHs reporting security concerns")</f>
        <v>Always worried about death OR abduction OR EOs
Area: 60% HHs reporting security concerns</v>
      </c>
      <c r="P104" s="648" t="str">
        <f ca="1">IFERROR(__xludf.DUMMYFUNCTION("""COMPUTED_VALUE"""),"Proxy indicator to include in case HHs directly affected by protection incidents is not available.")</f>
        <v>Proxy indicator to include in case HHs directly affected by protection incidents is not available.</v>
      </c>
      <c r="Q104" s="372"/>
      <c r="R104" s="372"/>
      <c r="S104" s="372"/>
    </row>
    <row r="105" spans="1:19" s="259" customFormat="1" ht="12.5">
      <c r="A105" s="655">
        <f ca="1">IFERROR(__xludf.DUMMYFUNCTION("""COMPUTED_VALUE"""),96)</f>
        <v>96</v>
      </c>
      <c r="B105" s="628" t="str">
        <f ca="1">IFERROR(__xludf.DUMMYFUNCTION("""COMPUTED_VALUE"""),"Shelter")</f>
        <v>Shelter</v>
      </c>
      <c r="C105" s="628" t="str">
        <f ca="1">IFERROR(__xludf.DUMMYFUNCTION("""COMPUTED_VALUE"""),"Enclosure")</f>
        <v>Enclosure</v>
      </c>
      <c r="D105" s="628" t="str">
        <f ca="1">IFERROR(__xludf.DUMMYFUNCTION("""COMPUTED_VALUE"""),"Humanitarian conditions")</f>
        <v>Humanitarian conditions</v>
      </c>
      <c r="E105" s="628" t="str">
        <f ca="1">IFERROR(__xludf.DUMMYFUNCTION("""COMPUTED_VALUE"""),"Living Standards")</f>
        <v>Living Standards</v>
      </c>
      <c r="F105" s="628" t="str">
        <f ca="1">IFERROR(__xludf.DUMMYFUNCTION("""COMPUTED_VALUE"""),"% of HH whose dwelling enclosure provides adequate security, privacy, and maintains possessions")</f>
        <v>% of HH whose dwelling enclosure provides adequate security, privacy, and maintains possessions</v>
      </c>
      <c r="G105" s="628"/>
      <c r="H105" s="628"/>
      <c r="I105" s="628"/>
      <c r="J105" s="628"/>
      <c r="K105" s="628" t="str">
        <f ca="1">IFERROR(__xludf.DUMMYFUNCTION("""COMPUTED_VALUE"""),"Household:  Occupants are  fully secure.  Dwelling encloses the occupants and their property so that they are fully secure and private.   Little or no intervention required.")</f>
        <v>Household:  Occupants are  fully secure.  Dwelling encloses the occupants and their property so that they are fully secure and private.   Little or no intervention required.</v>
      </c>
      <c r="L105" s="628" t="str">
        <f ca="1">IFERROR(__xludf.DUMMYFUNCTION("""COMPUTED_VALUE"""),"Household: Occupants are mostly secure.  Dwelling enclosure shows minor privacy deficiencies but maintains security for most household possessions with possible minor repairable deficiencies.")</f>
        <v>Household: Occupants are mostly secure.  Dwelling enclosure shows minor privacy deficiencies but maintains security for most household possessions with possible minor repairable deficiencies.</v>
      </c>
      <c r="M105" s="628" t="str">
        <f ca="1">IFERROR(__xludf.DUMMYFUNCTION("""COMPUTED_VALUE"""),"Household: Occupants have moderate insecurity. Household is moderately exposed to external observation and possessions are not lockable, however they may be able to be concealed. Repairs are required.")</f>
        <v>Household: Occupants have moderate insecurity. Household is moderately exposed to external observation and possessions are not lockable, however they may be able to be concealed. Repairs are required.</v>
      </c>
      <c r="N105" s="628" t="str">
        <f ca="1">IFERROR(__xludf.DUMMYFUNCTION("""COMPUTED_VALUE"""),"Household:  Occupants have severe insecurity.  Dwelling enclosure is very compromised with very poor privacy aspects and possessions are very exposed.")</f>
        <v>Household:  Occupants have severe insecurity.  Dwelling enclosure is very compromised with very poor privacy aspects and possessions are very exposed.</v>
      </c>
      <c r="O105" s="628" t="str">
        <f ca="1">IFERROR(__xludf.DUMMYFUNCTION("""COMPUTED_VALUE"""),"Household:  Dwelling occupants are fully insecure.  Dwelling provides no security to possessions with possible theft/loss and no external privacy.")</f>
        <v>Household:  Dwelling occupants are fully insecure.  Dwelling provides no security to possessions with possible theft/loss and no external privacy.</v>
      </c>
      <c r="P105" s="628"/>
      <c r="Q105" s="372"/>
      <c r="R105" s="372"/>
      <c r="S105" s="372"/>
    </row>
    <row r="106" spans="1:19" s="259" customFormat="1" ht="12.5">
      <c r="A106" s="655">
        <f ca="1">IFERROR(__xludf.DUMMYFUNCTION("""COMPUTED_VALUE"""),97)</f>
        <v>97</v>
      </c>
      <c r="B106" s="650" t="str">
        <f ca="1">IFERROR(__xludf.DUMMYFUNCTION("""COMPUTED_VALUE"""),"Shelter")</f>
        <v>Shelter</v>
      </c>
      <c r="C106" s="650" t="str">
        <f ca="1">IFERROR(__xludf.DUMMYFUNCTION("""COMPUTED_VALUE"""),"Enclosure")</f>
        <v>Enclosure</v>
      </c>
      <c r="D106" s="650" t="str">
        <f ca="1">IFERROR(__xludf.DUMMYFUNCTION("""COMPUTED_VALUE"""),"Humanitarian conditions")</f>
        <v>Humanitarian conditions</v>
      </c>
      <c r="E106" s="628" t="str">
        <f ca="1">IFERROR(__xludf.DUMMYFUNCTION("""COMPUTED_VALUE"""),"Living Standards")</f>
        <v>Living Standards</v>
      </c>
      <c r="F106" s="650" t="str">
        <f ca="1">IFERROR(__xludf.DUMMYFUNCTION("""COMPUTED_VALUE"""),"% of HH with interior partition(s)")</f>
        <v>% of HH with interior partition(s)</v>
      </c>
      <c r="G106" s="628"/>
      <c r="H106" s="651">
        <f ca="1">IFERROR(__xludf.DUMMYFUNCTION("""COMPUTED_VALUE"""),2)</f>
        <v>2</v>
      </c>
      <c r="I106" s="650"/>
      <c r="J106" s="628" t="str">
        <f ca="1">IFERROR(__xludf.DUMMYFUNCTION("""COMPUTED_VALUE"""),"Shelter Cluster assessments")</f>
        <v>Shelter Cluster assessments</v>
      </c>
      <c r="K106" s="650" t="str">
        <f ca="1">IFERROR(__xludf.DUMMYFUNCTION("""COMPUTED_VALUE"""),"All dwellings have interior partitions")</f>
        <v>All dwellings have interior partitions</v>
      </c>
      <c r="L106" s="650" t="str">
        <f ca="1">IFERROR(__xludf.DUMMYFUNCTION("""COMPUTED_VALUE"""),"10% of HH lack interior partitions")</f>
        <v>10% of HH lack interior partitions</v>
      </c>
      <c r="M106" s="650" t="str">
        <f ca="1">IFERROR(__xludf.DUMMYFUNCTION("""COMPUTED_VALUE"""),"20% of HH lack interior partitions")</f>
        <v>20% of HH lack interior partitions</v>
      </c>
      <c r="N106" s="650" t="str">
        <f ca="1">IFERROR(__xludf.DUMMYFUNCTION("""COMPUTED_VALUE"""),"30% of HH lack interior partitions")</f>
        <v>30% of HH lack interior partitions</v>
      </c>
      <c r="O106" s="650" t="str">
        <f ca="1">IFERROR(__xludf.DUMMYFUNCTION("""COMPUTED_VALUE"""),"40% of HH lack interior partitions")</f>
        <v>40% of HH lack interior partitions</v>
      </c>
      <c r="P106" s="650"/>
      <c r="Q106" s="372"/>
      <c r="R106" s="372"/>
      <c r="S106" s="372"/>
    </row>
    <row r="107" spans="1:19" s="259" customFormat="1" ht="12.5">
      <c r="A107" s="655">
        <f ca="1">IFERROR(__xludf.DUMMYFUNCTION("""COMPUTED_VALUE"""),98)</f>
        <v>98</v>
      </c>
      <c r="B107" s="628" t="str">
        <f ca="1">IFERROR(__xludf.DUMMYFUNCTION("""COMPUTED_VALUE"""),"Shelter")</f>
        <v>Shelter</v>
      </c>
      <c r="C107" s="628" t="str">
        <f ca="1">IFERROR(__xludf.DUMMYFUNCTION("""COMPUTED_VALUE"""),"Enclosure")</f>
        <v>Enclosure</v>
      </c>
      <c r="D107" s="628" t="str">
        <f ca="1">IFERROR(__xludf.DUMMYFUNCTION("""COMPUTED_VALUE"""),"Humanitarian conditions")</f>
        <v>Humanitarian conditions</v>
      </c>
      <c r="E107" s="628" t="str">
        <f ca="1">IFERROR(__xludf.DUMMYFUNCTION("""COMPUTED_VALUE"""),"Living Standards")</f>
        <v>Living Standards</v>
      </c>
      <c r="F107" s="628" t="str">
        <f ca="1">IFERROR(__xludf.DUMMYFUNCTION("""COMPUTED_VALUE"""),"% of HHs whose dwelling enclosure provides adequate safety to the occupants, protection from exposure, and low risk of failure in predictable hazards.")</f>
        <v>% of HHs whose dwelling enclosure provides adequate safety to the occupants, protection from exposure, and low risk of failure in predictable hazards.</v>
      </c>
      <c r="G107" s="628"/>
      <c r="H107" s="628"/>
      <c r="I107" s="628"/>
      <c r="J107" s="628"/>
      <c r="K107" s="628" t="str">
        <f ca="1">IFERROR(__xludf.DUMMYFUNCTION("""COMPUTED_VALUE"""),"Household:  Occupants are  fully safe. Dwelling unit is structurally safe and encloses the residents and their property so that they are warm and dry.  Little or no intervention required.")</f>
        <v>Household:  Occupants are  fully safe. Dwelling unit is structurally safe and encloses the residents and their property so that they are warm and dry.  Little or no intervention required.</v>
      </c>
      <c r="L107" s="628" t="str">
        <f ca="1">IFERROR(__xludf.DUMMYFUNCTION("""COMPUTED_VALUE"""),"Household: Occupants are mostly safe.  Dwelling enclosure shows cosmetic deficiencies but maintains healthy structural and performance standards for weather protection with possible minor repairable deficiencies.")</f>
        <v>Household: Occupants are mostly safe.  Dwelling enclosure shows cosmetic deficiencies but maintains healthy structural and performance standards for weather protection with possible minor repairable deficiencies.</v>
      </c>
      <c r="M107" s="628" t="str">
        <f ca="1">IFERROR(__xludf.DUMMYFUNCTION("""COMPUTED_VALUE"""),"Household: Occupants are moderately unsafe.  Dwelling enclosure performance is moderately compromised, some exposure to weather-related (heat, cold, water) and extended living in this state can lead to deterioration of domestic health or building enclosur"&amp;"e integrity. Repairs are required.")</f>
        <v>Household: Occupants are moderately unsafe.  Dwelling enclosure performance is moderately compromised, some exposure to weather-related (heat, cold, water) and extended living in this state can lead to deterioration of domestic health or building enclosure integrity. Repairs are required.</v>
      </c>
      <c r="N107" s="628" t="str">
        <f ca="1">IFERROR(__xludf.DUMMYFUNCTION("""COMPUTED_VALUE"""),"Household: Occupants are severely unsafe.  Dwelling enclosure performance is severely compromised so that occupant health/injury is at immediate risk. Significant water/air permeance is present, occupants are hot/cold and possessions regularly get wet dur"&amp;"ing rain events..  Significant contruction required, likely temporary accomodation.")</f>
        <v>Household: Occupants are severely unsafe.  Dwelling enclosure performance is severely compromised so that occupant health/injury is at immediate risk. Significant water/air permeance is present, occupants are hot/cold and possessions regularly get wet during rain events..  Significant contruction required, likely temporary accomodation.</v>
      </c>
      <c r="O107" s="628" t="str">
        <f ca="1">IFERROR(__xludf.DUMMYFUNCTION("""COMPUTED_VALUE"""),"Household: Dwelling occupants are fully unsafe.  Building enclosure has little or no prevention for water or weather permeance, is severely damaged, and very unsafe or impossible to reside within.")</f>
        <v>Household: Dwelling occupants are fully unsafe.  Building enclosure has little or no prevention for water or weather permeance, is severely damaged, and very unsafe or impossible to reside within.</v>
      </c>
      <c r="P107" s="628"/>
      <c r="Q107" s="372"/>
      <c r="R107" s="372"/>
      <c r="S107" s="372"/>
    </row>
    <row r="108" spans="1:19" s="259" customFormat="1" ht="12.5">
      <c r="A108" s="655">
        <f ca="1">IFERROR(__xludf.DUMMYFUNCTION("""COMPUTED_VALUE"""),99)</f>
        <v>99</v>
      </c>
      <c r="B108" s="628" t="str">
        <f ca="1">IFERROR(__xludf.DUMMYFUNCTION("""COMPUTED_VALUE"""),"Shelter")</f>
        <v>Shelter</v>
      </c>
      <c r="C108" s="650" t="str">
        <f ca="1">IFERROR(__xludf.DUMMYFUNCTION("""COMPUTED_VALUE"""),"Enclosure")</f>
        <v>Enclosure</v>
      </c>
      <c r="D108" s="650" t="str">
        <f ca="1">IFERROR(__xludf.DUMMYFUNCTION("""COMPUTED_VALUE"""),"Humanitarian conditions")</f>
        <v>Humanitarian conditions</v>
      </c>
      <c r="E108" s="628" t="str">
        <f ca="1">IFERROR(__xludf.DUMMYFUNCTION("""COMPUTED_VALUE"""),"Living Standards")</f>
        <v>Living Standards</v>
      </c>
      <c r="F108" s="650" t="str">
        <f ca="1">IFERROR(__xludf.DUMMYFUNCTION("""COMPUTED_VALUE"""),"% of HHs with access to a functional domestic living space")</f>
        <v>% of HHs with access to a functional domestic living space</v>
      </c>
      <c r="G108" s="628"/>
      <c r="H108" s="629">
        <f ca="1">IFERROR(__xludf.DUMMYFUNCTION("""COMPUTED_VALUE"""),1)</f>
        <v>1</v>
      </c>
      <c r="I108" s="628"/>
      <c r="J108" s="628" t="str">
        <f ca="1">IFERROR(__xludf.DUMMYFUNCTION("""COMPUTED_VALUE"""),"Shelter Cluster assessments")</f>
        <v>Shelter Cluster assessments</v>
      </c>
      <c r="K108" s="628" t="str">
        <f ca="1">IFERROR(__xludf.DUMMYFUNCTION("""COMPUTED_VALUE"""),"Area: Less than 10% of HH are settled in Severe or worse conditions
 Household:  HH can perform all core domestic functions without difficulty")</f>
        <v>Area: Less than 10% of HH are settled in Severe or worse conditions
 Household:  HH can perform all core domestic functions without difficulty</v>
      </c>
      <c r="L108" s="628" t="str">
        <f ca="1">IFERROR(__xludf.DUMMYFUNCTION("""COMPUTED_VALUE"""),"Area: More than 10% of HH are settled in Severe or worse conditions
 Household: Some daily domestic activities are compromised but can be performed with additional non-normal effort")</f>
        <v>Area: More than 10% of HH are settled in Severe or worse conditions
 Household: Some daily domestic activities are compromised but can be performed with additional non-normal effort</v>
      </c>
      <c r="M108" s="628" t="str">
        <f ca="1">IFERROR(__xludf.DUMMYFUNCTION("""COMPUTED_VALUE"""),"Area: More than 20% of HH are settled in Severe or worse conditions
 Household: Sleeping or cooking is significantly compromised")</f>
        <v>Area: More than 20% of HH are settled in Severe or worse conditions
 Household: Sleeping or cooking is significantly compromised</v>
      </c>
      <c r="N108" s="628" t="str">
        <f ca="1">IFERROR(__xludf.DUMMYFUNCTION("""COMPUTED_VALUE"""),"Area: More than 20% of HH are settled in Extreme or Catastrophic conditions
 Household: Sleeping and cooking are significantly compromised")</f>
        <v>Area: More than 20% of HH are settled in Extreme or Catastrophic conditions
 Household: Sleeping and cooking are significantly compromised</v>
      </c>
      <c r="O108" s="628" t="str">
        <f ca="1">IFERROR(__xludf.DUMMYFUNCTION("""COMPUTED_VALUE"""),"Area: More than 40% of HH are settled in Extreme or Catastrophic conditions
 Household: HH can no longer perform any domestic functions")</f>
        <v>Area: More than 40% of HH are settled in Extreme or Catastrophic conditions
 Household: HH can no longer perform any domestic functions</v>
      </c>
      <c r="P108" s="628" t="str">
        <f ca="1">IFERROR(__xludf.DUMMYFUNCTION("""COMPUTED_VALUE"""),"Core functions include: Sleeping, cooking, eating, water, etc. Check with other clusters if soem aspectsa re covered to not duplicate.")</f>
        <v>Core functions include: Sleeping, cooking, eating, water, etc. Check with other clusters if soem aspectsa re covered to not duplicate.</v>
      </c>
      <c r="Q108" s="372"/>
      <c r="R108" s="372"/>
      <c r="S108" s="372"/>
    </row>
    <row r="109" spans="1:19" s="259" customFormat="1" ht="12.5">
      <c r="A109" s="655">
        <f ca="1">IFERROR(__xludf.DUMMYFUNCTION("""COMPUTED_VALUE"""),100)</f>
        <v>100</v>
      </c>
      <c r="B109" s="628" t="str">
        <f ca="1">IFERROR(__xludf.DUMMYFUNCTION("""COMPUTED_VALUE"""),"Shelter")</f>
        <v>Shelter</v>
      </c>
      <c r="C109" s="628" t="str">
        <f ca="1">IFERROR(__xludf.DUMMYFUNCTION("""COMPUTED_VALUE"""),"Enclosure")</f>
        <v>Enclosure</v>
      </c>
      <c r="D109" s="628" t="str">
        <f ca="1">IFERROR(__xludf.DUMMYFUNCTION("""COMPUTED_VALUE"""),"Humanitarian conditions")</f>
        <v>Humanitarian conditions</v>
      </c>
      <c r="E109" s="628" t="str">
        <f ca="1">IFERROR(__xludf.DUMMYFUNCTION("""COMPUTED_VALUE"""),"Living Standards")</f>
        <v>Living Standards</v>
      </c>
      <c r="F109" s="628" t="str">
        <f ca="1">IFERROR(__xludf.DUMMYFUNCTION("""COMPUTED_VALUE"""),"% or HHs currently living in unsustainable shelter situations")</f>
        <v>% or HHs currently living in unsustainable shelter situations</v>
      </c>
      <c r="G109" s="628"/>
      <c r="H109" s="629">
        <f ca="1">IFERROR(__xludf.DUMMYFUNCTION("""COMPUTED_VALUE"""),1)</f>
        <v>1</v>
      </c>
      <c r="I109" s="628"/>
      <c r="J109" s="628" t="str">
        <f ca="1">IFERROR(__xludf.DUMMYFUNCTION("""COMPUTED_VALUE"""),"Shelter Cluster assessments")</f>
        <v>Shelter Cluster assessments</v>
      </c>
      <c r="K109" s="628" t="str">
        <f ca="1">IFERROR(__xludf.DUMMYFUNCTION("""COMPUTED_VALUE"""),"Area: Very few (&lt;10%) of HHs is living in unfinished buildings, collective centres, organized camps, informal settlements, open areas.")</f>
        <v>Area: Very few (&lt;10%) of HHs is living in unfinished buildings, collective centres, organized camps, informal settlements, open areas.</v>
      </c>
      <c r="L109" s="628" t="str">
        <f ca="1">IFERROR(__xludf.DUMMYFUNCTION("""COMPUTED_VALUE"""),"Area:  10% to 50% of HHs live in unfinished buildings, collective centres, organized camps, informal settlements, open areas")</f>
        <v>Area:  10% to 50% of HHs live in unfinished buildings, collective centres, organized camps, informal settlements, open areas</v>
      </c>
      <c r="M109" s="628" t="str">
        <f ca="1">IFERROR(__xludf.DUMMYFUNCTION("""COMPUTED_VALUE"""),"Area: Over 50% to 70% of HHs live in unfinished buildings, collective centres, organized camps, informal settlements, open areas")</f>
        <v>Area: Over 50% to 70% of HHs live in unfinished buildings, collective centres, organized camps, informal settlements, open areas</v>
      </c>
      <c r="N109" s="628" t="str">
        <f ca="1">IFERROR(__xludf.DUMMYFUNCTION("""COMPUTED_VALUE"""),"Area: Over 70% to 90% of HHs live in unfinished buildings, collective centres, organized camps, informal settlements, open areas")</f>
        <v>Area: Over 70% to 90% of HHs live in unfinished buildings, collective centres, organized camps, informal settlements, open areas</v>
      </c>
      <c r="O109" s="628" t="str">
        <f ca="1">IFERROR(__xludf.DUMMYFUNCTION("""COMPUTED_VALUE"""),"Area: Over 90% of HHs live in unfinished buildings, collective centres, organized camps, informal settlements, open areas")</f>
        <v>Area: Over 90% of HHs live in unfinished buildings, collective centres, organized camps, informal settlements, open areas</v>
      </c>
      <c r="P109" s="628"/>
      <c r="Q109" s="372"/>
      <c r="R109" s="372"/>
      <c r="S109" s="372"/>
    </row>
    <row r="110" spans="1:19" s="259" customFormat="1" ht="12.5">
      <c r="A110" s="655">
        <f ca="1">IFERROR(__xludf.DUMMYFUNCTION("""COMPUTED_VALUE"""),101)</f>
        <v>101</v>
      </c>
      <c r="B110" s="628" t="str">
        <f ca="1">IFERROR(__xludf.DUMMYFUNCTION("""COMPUTED_VALUE"""),"Shelter")</f>
        <v>Shelter</v>
      </c>
      <c r="C110" s="650" t="str">
        <f ca="1">IFERROR(__xludf.DUMMYFUNCTION("""COMPUTED_VALUE"""),"Enclosure")</f>
        <v>Enclosure</v>
      </c>
      <c r="D110" s="628" t="str">
        <f ca="1">IFERROR(__xludf.DUMMYFUNCTION("""COMPUTED_VALUE"""),"Impact")</f>
        <v>Impact</v>
      </c>
      <c r="E110" s="650" t="str">
        <f ca="1">IFERROR(__xludf.DUMMYFUNCTION("""COMPUTED_VALUE"""),"Impact on people")</f>
        <v>Impact on people</v>
      </c>
      <c r="F110" s="650" t="str">
        <f ca="1">IFERROR(__xludf.DUMMYFUNCTION("""COMPUTED_VALUE"""),"(Alternate) % of HHs whose original house was damaged resulting from the impacts of a disaster/conflict")</f>
        <v>(Alternate) % of HHs whose original house was damaged resulting from the impacts of a disaster/conflict</v>
      </c>
      <c r="G110" s="628"/>
      <c r="H110" s="629">
        <f ca="1">IFERROR(__xludf.DUMMYFUNCTION("""COMPUTED_VALUE"""),2)</f>
        <v>2</v>
      </c>
      <c r="I110" s="628" t="str">
        <f ca="1">IFERROR(__xludf.DUMMYFUNCTION("""COMPUTED_VALUE"""),"HH/KII")</f>
        <v>HH/KII</v>
      </c>
      <c r="J110" s="628" t="str">
        <f ca="1">IFERROR(__xludf.DUMMYFUNCTION("""COMPUTED_VALUE"""),"Shelter Cluster assessments")</f>
        <v>Shelter Cluster assessments</v>
      </c>
      <c r="K110" s="628" t="str">
        <f ca="1">IFERROR(__xludf.DUMMYFUNCTION("""COMPUTED_VALUE"""),"Household:  Dwelling unit remains structurally safe following the disaster/conflict and encloses the residents and their property so that they are warm, dry, and secure. Little or no intervention required.")</f>
        <v>Household:  Dwelling unit remains structurally safe following the disaster/conflict and encloses the residents and their property so that they are warm, dry, and secure. Little or no intervention required.</v>
      </c>
      <c r="L110" s="628" t="str">
        <f ca="1">IFERROR(__xludf.DUMMYFUNCTION("""COMPUTED_VALUE"""),"Household: Dwelling enclosure may show cosmetic deficiencies following disaster/conflict but maintains healthy structural and performance standards for enclosure with possible minor repairable deficiencies.")</f>
        <v>Household: Dwelling enclosure may show cosmetic deficiencies following disaster/conflict but maintains healthy structural and performance standards for enclosure with possible minor repairable deficiencies.</v>
      </c>
      <c r="M110" s="628" t="str">
        <f ca="1">IFERROR(__xludf.DUMMYFUNCTION("""COMPUTED_VALUE"""),"Household: Dwelling enclosure performance is moderately compromised due to disaster/conflict and extended living in this state can lead to health deterioration, loss or damage to possessions, or deterioration of building enclosure integrity. Repairs are r"&amp;"equired.")</f>
        <v>Household: Dwelling enclosure performance is moderately compromised due to disaster/conflict and extended living in this state can lead to health deterioration, loss or damage to possessions, or deterioration of building enclosure integrity. Repairs are required.</v>
      </c>
      <c r="N110" s="628" t="str">
        <f ca="1">IFERROR(__xludf.DUMMYFUNCTION("""COMPUTED_VALUE"""),"Household: Dwelling enclosure performance is significantly compromised due to disaster/conflict so that occupant health is at risk. Significant water/air permeance is present. Some minor privacy may be present but enclosure probably will not secure posses"&amp;"sions. Significant contruction required.")</f>
        <v>Household: Dwelling enclosure performance is significantly compromised due to disaster/conflict so that occupant health is at risk. Significant water/air permeance is present. Some minor privacy may be present but enclosure probably will not secure possessions. Significant contruction required.</v>
      </c>
      <c r="O110" s="628" t="str">
        <f ca="1">IFERROR(__xludf.DUMMYFUNCTION("""COMPUTED_VALUE"""),"Household: Total loss of building enclosure due to disaster/conflict with little or no prevention to water or weather permeance, unsafe and unhealthy living, and will require occupant to find new accomodation immediately and/or rebuild.")</f>
        <v>Household: Total loss of building enclosure due to disaster/conflict with little or no prevention to water or weather permeance, unsafe and unhealthy living, and will require occupant to find new accomodation immediately and/or rebuild.</v>
      </c>
      <c r="P110" s="628"/>
      <c r="Q110" s="372"/>
      <c r="R110" s="372"/>
      <c r="S110" s="372"/>
    </row>
    <row r="111" spans="1:19" s="259" customFormat="1" ht="12.5">
      <c r="A111" s="655">
        <f ca="1">IFERROR(__xludf.DUMMYFUNCTION("""COMPUTED_VALUE"""),102)</f>
        <v>102</v>
      </c>
      <c r="B111" s="650" t="str">
        <f ca="1">IFERROR(__xludf.DUMMYFUNCTION("""COMPUTED_VALUE"""),"Shelter")</f>
        <v>Shelter</v>
      </c>
      <c r="C111" s="650" t="str">
        <f ca="1">IFERROR(__xludf.DUMMYFUNCTION("""COMPUTED_VALUE"""),"Settlement")</f>
        <v>Settlement</v>
      </c>
      <c r="D111" s="650" t="str">
        <f ca="1">IFERROR(__xludf.DUMMYFUNCTION("""COMPUTED_VALUE"""),"Impact")</f>
        <v>Impact</v>
      </c>
      <c r="E111" s="650" t="str">
        <f ca="1">IFERROR(__xludf.DUMMYFUNCTION("""COMPUTED_VALUE"""),"Impact on people")</f>
        <v>Impact on people</v>
      </c>
      <c r="F111" s="650" t="str">
        <f ca="1">IFERROR(__xludf.DUMMYFUNCTION("""COMPUTED_VALUE"""),"% of HHs who are displaced due to community/regional hazards")</f>
        <v>% of HHs who are displaced due to community/regional hazards</v>
      </c>
      <c r="G111" s="628"/>
      <c r="H111" s="628"/>
      <c r="I111" s="628"/>
      <c r="J111" s="628"/>
      <c r="K111" s="628" t="str">
        <f ca="1">IFERROR(__xludf.DUMMYFUNCTION("""COMPUTED_VALUE"""),"Household:  Household is not displaced due to community hazards.  no community hazards and been identified andHH is not displaced.")</f>
        <v>Household:  Household is not displaced due to community hazards.  no community hazards and been identified andHH is not displaced.</v>
      </c>
      <c r="L111" s="628" t="str">
        <f ca="1">IFERROR(__xludf.DUMMYFUNCTION("""COMPUTED_VALUE"""),"Household:  Household is not likely to displace despite present community hazards.")</f>
        <v>Household:  Household is not likely to displace despite present community hazards.</v>
      </c>
      <c r="M111" s="628" t="str">
        <f ca="1">IFERROR(__xludf.DUMMYFUNCTION("""COMPUTED_VALUE"""),"Household:  Hosuehold is considering displacement due to threat of community hazard.")</f>
        <v>Household:  Hosuehold is considering displacement due to threat of community hazard.</v>
      </c>
      <c r="N111" s="628" t="str">
        <f ca="1">IFERROR(__xludf.DUMMYFUNCTION("""COMPUTED_VALUE"""),"Household:  Household is going to imanently displaced due to present community hazards.")</f>
        <v>Household:  Household is going to imanently displaced due to present community hazards.</v>
      </c>
      <c r="O111" s="628" t="str">
        <f ca="1">IFERROR(__xludf.DUMMYFUNCTION("""COMPUTED_VALUE"""),"Household:  Household has been displaced due to community hazards (in their area of origin?)")</f>
        <v>Household:  Household has been displaced due to community hazards (in their area of origin?)</v>
      </c>
      <c r="P111" s="628"/>
      <c r="Q111" s="372"/>
      <c r="R111" s="372"/>
      <c r="S111" s="372"/>
    </row>
    <row r="112" spans="1:19" s="259" customFormat="1" ht="12.5">
      <c r="A112" s="655">
        <f ca="1">IFERROR(__xludf.DUMMYFUNCTION("""COMPUTED_VALUE"""),103)</f>
        <v>103</v>
      </c>
      <c r="B112" s="628" t="str">
        <f ca="1">IFERROR(__xludf.DUMMYFUNCTION("""COMPUTED_VALUE"""),"Shelter")</f>
        <v>Shelter</v>
      </c>
      <c r="C112" s="650" t="str">
        <f ca="1">IFERROR(__xludf.DUMMYFUNCTION("""COMPUTED_VALUE"""),"Settlement")</f>
        <v>Settlement</v>
      </c>
      <c r="D112" s="650" t="str">
        <f ca="1">IFERROR(__xludf.DUMMYFUNCTION("""COMPUTED_VALUE"""),"Impact")</f>
        <v>Impact</v>
      </c>
      <c r="E112" s="650" t="str">
        <f ca="1">IFERROR(__xludf.DUMMYFUNCTION("""COMPUTED_VALUE"""),"Impact on people")</f>
        <v>Impact on people</v>
      </c>
      <c r="F112" s="650" t="str">
        <f ca="1">IFERROR(__xludf.DUMMYFUNCTION("""COMPUTED_VALUE"""),"% of HHs whose possessions are being affected by community/regional hazards")</f>
        <v>% of HHs whose possessions are being affected by community/regional hazards</v>
      </c>
      <c r="G112" s="628"/>
      <c r="H112" s="628"/>
      <c r="I112" s="628"/>
      <c r="J112" s="628"/>
      <c r="K112" s="650" t="str">
        <f ca="1">IFERROR(__xludf.DUMMYFUNCTION("""COMPUTED_VALUE"""),"Household possessions are secure.  No community hazards and been identified andHH possessions are not at risk.")</f>
        <v>Household possessions are secure.  No community hazards and been identified andHH possessions are not at risk.</v>
      </c>
      <c r="L112" s="650" t="str">
        <f ca="1">IFERROR(__xludf.DUMMYFUNCTION("""COMPUTED_VALUE"""),"Hosuehold:  Household possessions are currently intact although community hazards are present.")</f>
        <v>Hosuehold:  Household possessions are currently intact although community hazards are present.</v>
      </c>
      <c r="M112" s="650" t="str">
        <f ca="1">IFERROR(__xludf.DUMMYFUNCTION("""COMPUTED_VALUE"""),"Household:  Some household possessions have been damaged due to community hazards but some may be reclaimable.")</f>
        <v>Household:  Some household possessions have been damaged due to community hazards but some may be reclaimable.</v>
      </c>
      <c r="N112" s="650" t="str">
        <f ca="1">IFERROR(__xludf.DUMMYFUNCTION("""COMPUTED_VALUE"""),"Household:  Many household items have been damaged or destroyed due to community hazards.")</f>
        <v>Household:  Many household items have been damaged or destroyed due to community hazards.</v>
      </c>
      <c r="O112" s="650" t="str">
        <f ca="1">IFERROR(__xludf.DUMMYFUNCTION("""COMPUTED_VALUE"""),"Household:  Household has lost all of their possessions.")</f>
        <v>Household:  Household has lost all of their possessions.</v>
      </c>
      <c r="P112" s="628"/>
      <c r="Q112" s="372"/>
      <c r="R112" s="372"/>
      <c r="S112" s="372"/>
    </row>
    <row r="113" spans="1:19" s="259" customFormat="1" ht="12.5">
      <c r="A113" s="655">
        <f ca="1">IFERROR(__xludf.DUMMYFUNCTION("""COMPUTED_VALUE"""),104)</f>
        <v>104</v>
      </c>
      <c r="B113" s="628" t="str">
        <f ca="1">IFERROR(__xludf.DUMMYFUNCTION("""COMPUTED_VALUE"""),"Shelter")</f>
        <v>Shelter</v>
      </c>
      <c r="C113" s="628" t="str">
        <f ca="1">IFERROR(__xludf.DUMMYFUNCTION("""COMPUTED_VALUE"""),"Settlement")</f>
        <v>Settlement</v>
      </c>
      <c r="D113" s="628" t="str">
        <f ca="1">IFERROR(__xludf.DUMMYFUNCTION("""COMPUTED_VALUE"""),"Humanitarian conditions")</f>
        <v>Humanitarian conditions</v>
      </c>
      <c r="E113" s="628" t="str">
        <f ca="1">IFERROR(__xludf.DUMMYFUNCTION("""COMPUTED_VALUE"""),"Living Standards")</f>
        <v>Living Standards</v>
      </c>
      <c r="F113" s="628" t="str">
        <f ca="1">IFERROR(__xludf.DUMMYFUNCTION("""COMPUTED_VALUE"""),"(alternate) % of HHs with safe access to market for shelter-related items within an acceptable amount of time or distance")</f>
        <v>(alternate) % of HHs with safe access to market for shelter-related items within an acceptable amount of time or distance</v>
      </c>
      <c r="G113" s="628"/>
      <c r="H113" s="629">
        <f ca="1">IFERROR(__xludf.DUMMYFUNCTION("""COMPUTED_VALUE"""),1)</f>
        <v>1</v>
      </c>
      <c r="I113" s="628" t="str">
        <f ca="1">IFERROR(__xludf.DUMMYFUNCTION("""COMPUTED_VALUE"""),"KII/HH")</f>
        <v>KII/HH</v>
      </c>
      <c r="J113" s="628" t="str">
        <f ca="1">IFERROR(__xludf.DUMMYFUNCTION("""COMPUTED_VALUE"""),"Shelter Cluster assessments")</f>
        <v>Shelter Cluster assessments</v>
      </c>
      <c r="K113" s="628" t="str">
        <f ca="1">IFERROR(__xludf.DUMMYFUNCTION("""COMPUTED_VALUE"""),"Overall:  HHs are able to physically access needed shelter materials/NFIs in markets, materials are affordable and good quality
Subset Market Access: HH has access to market for shelter/NFI items within a 30 min walking distance (one way)")</f>
        <v>Overall:  HHs are able to physically access needed shelter materials/NFIs in markets, materials are affordable and good quality
Subset Market Access: HH has access to market for shelter/NFI items within a 30 min walking distance (one way)</v>
      </c>
      <c r="L113" s="628" t="str">
        <f ca="1">IFERROR(__xludf.DUMMYFUNCTION("""COMPUTED_VALUE"""),"Overall:  HHs are able to physically access needed shelter materials/NFIs in markets, but materials are expensive or low quality
Subset Market Access: HH has access to market for shelter/NFI items within a one hour walking distance (one way)")</f>
        <v>Overall:  HHs are able to physically access needed shelter materials/NFIs in markets, but materials are expensive or low quality
Subset Market Access: HH has access to market for shelter/NFI items within a one hour walking distance (one way)</v>
      </c>
      <c r="M113" s="628" t="str">
        <f ca="1">IFERROR(__xludf.DUMMYFUNCTION("""COMPUTED_VALUE"""),"Overall:  HHs are able to physically access needed shelter materials/NFIs in markets, but materials are unaffordable AND poor quality
Subset Market Access: HH has access to market for shelter/NFI items within a 1h30 min walking distance (one way)")</f>
        <v>Overall:  HHs are able to physically access needed shelter materials/NFIs in markets, but materials are unaffordable AND poor quality
Subset Market Access: HH has access to market for shelter/NFI items within a 1h30 min walking distance (one way)</v>
      </c>
      <c r="N113" s="628" t="str">
        <f ca="1">IFERROR(__xludf.DUMMYFUNCTION("""COMPUTED_VALUE"""),"Overall: HHs are NOT able to physically access some needed shelter materials/NFIs in (functional) local markets. Shelter materials are unaffordable AND poor quality
Subset Market Access: Access to market for shelter/NFI items within a 2h walking distanc"&amp;"e (one way)")</f>
        <v>Overall: HHs are NOT able to physically access some needed shelter materials/NFIs in (functional) local markets. Shelter materials are unaffordable AND poor quality
Subset Market Access: Access to market for shelter/NFI items within a 2h walking distance (one way)</v>
      </c>
      <c r="O113" s="628" t="str">
        <f ca="1">IFERROR(__xludf.DUMMYFUNCTION("""COMPUTED_VALUE"""),"Overall: Markets for shelter-related items are not present or non-functional so there is no access to needed items.
Subset Market Access: No market for shelter/NFI items accessible within a 2h walking distance (one way)")</f>
        <v>Overall: Markets for shelter-related items are not present or non-functional so there is no access to needed items.
Subset Market Access: No market for shelter/NFI items accessible within a 2h walking distance (one way)</v>
      </c>
      <c r="P113" s="628"/>
      <c r="Q113" s="372"/>
      <c r="R113" s="372"/>
      <c r="S113" s="372"/>
    </row>
    <row r="114" spans="1:19" s="259" customFormat="1" ht="12.5">
      <c r="A114" s="655">
        <f ca="1">IFERROR(__xludf.DUMMYFUNCTION("""COMPUTED_VALUE"""),105)</f>
        <v>105</v>
      </c>
      <c r="B114" s="628" t="str">
        <f ca="1">IFERROR(__xludf.DUMMYFUNCTION("""COMPUTED_VALUE"""),"Shelter")</f>
        <v>Shelter</v>
      </c>
      <c r="C114" s="628" t="str">
        <f ca="1">IFERROR(__xludf.DUMMYFUNCTION("""COMPUTED_VALUE"""),"Settlement")</f>
        <v>Settlement</v>
      </c>
      <c r="D114" s="628" t="str">
        <f ca="1">IFERROR(__xludf.DUMMYFUNCTION("""COMPUTED_VALUE"""),"Humanitarian conditions")</f>
        <v>Humanitarian conditions</v>
      </c>
      <c r="E114" s="628" t="str">
        <f ca="1">IFERROR(__xludf.DUMMYFUNCTION("""COMPUTED_VALUE"""),"Living Standards")</f>
        <v>Living Standards</v>
      </c>
      <c r="F114" s="628" t="str">
        <f ca="1">IFERROR(__xludf.DUMMYFUNCTION("""COMPUTED_VALUE"""),"% of HH with access to basic infrastructures and essential services")</f>
        <v>% of HH with access to basic infrastructures and essential services</v>
      </c>
      <c r="G114" s="628"/>
      <c r="H114" s="629">
        <f ca="1">IFERROR(__xludf.DUMMYFUNCTION("""COMPUTED_VALUE"""),1)</f>
        <v>1</v>
      </c>
      <c r="I114" s="628" t="str">
        <f ca="1">IFERROR(__xludf.DUMMYFUNCTION("""COMPUTED_VALUE"""),"KII/HH")</f>
        <v>KII/HH</v>
      </c>
      <c r="J114" s="628" t="str">
        <f ca="1">IFERROR(__xludf.DUMMYFUNCTION("""COMPUTED_VALUE"""),"Shelter Cluster assessments")</f>
        <v>Shelter Cluster assessments</v>
      </c>
      <c r="K114" s="628" t="str">
        <f ca="1">IFERROR(__xludf.DUMMYFUNCTION("""COMPUTED_VALUE"""),"Area:  Less than 10% of HH are settled in Severe or worse conditions
Household: Household has predictable access to essential (public) services and utilities (water, electricity, sewage), road access is clear, and easy access to functional local markets")</f>
        <v>Area:  Less than 10% of HH are settled in Severe or worse conditions
Household: Household has predictable access to essential (public) services and utilities (water, electricity, sewage), road access is clear, and easy access to functional local markets</v>
      </c>
      <c r="L114" s="628" t="str">
        <f ca="1">IFERROR(__xludf.DUMMYFUNCTION("""COMPUTED_VALUE"""),"Area:  More than 10% of HH are settled in Severe or worse conditions
Household:  Household is lightly impaired through (predictable) disruptions to essential services")</f>
        <v>Area:  More than 10% of HH are settled in Severe or worse conditions
Household:  Household is lightly impaired through (predictable) disruptions to essential services</v>
      </c>
      <c r="M114" s="628" t="str">
        <f ca="1">IFERROR(__xludf.DUMMYFUNCTION("""COMPUTED_VALUE"""),"Area: More than 20% of HH are settled in Severe or worse conditions
Household: Household is moderately impaired by substantial disruptions to essential services or utilities, road access and accessibility to markets")</f>
        <v>Area: More than 20% of HH are settled in Severe or worse conditions
Household: Household is moderately impaired by substantial disruptions to essential services or utilities, road access and accessibility to markets</v>
      </c>
      <c r="N114" s="628" t="str">
        <f ca="1">IFERROR(__xludf.DUMMYFUNCTION("""COMPUTED_VALUE"""),"Area: More than 20% of HH are settled in Extreme or Catastrophic conditions
Household: Household is severely impaired by disruptions to services, utilities, road access and market functionality.")</f>
        <v>Area: More than 20% of HH are settled in Extreme or Catastrophic conditions
Household: Household is severely impaired by disruptions to services, utilities, road access and market functionality.</v>
      </c>
      <c r="O114" s="628" t="str">
        <f ca="1">IFERROR(__xludf.DUMMYFUNCTION("""COMPUTED_VALUE"""),"Area: More than 40% of HH are settled in Extreme or Catastrophic conditions
Household: Household is completely impaired through isolation from all essential services, road access, and market access")</f>
        <v>Area: More than 40% of HH are settled in Extreme or Catastrophic conditions
Household: Household is completely impaired through isolation from all essential services, road access, and market access</v>
      </c>
      <c r="P114" s="628"/>
      <c r="Q114" s="372"/>
      <c r="R114" s="372"/>
      <c r="S114" s="372"/>
    </row>
    <row r="115" spans="1:19" s="259" customFormat="1" ht="12.5">
      <c r="A115" s="655">
        <f ca="1">IFERROR(__xludf.DUMMYFUNCTION("""COMPUTED_VALUE"""),106)</f>
        <v>106</v>
      </c>
      <c r="B115" s="628" t="str">
        <f ca="1">IFERROR(__xludf.DUMMYFUNCTION("""COMPUTED_VALUE"""),"Shelter")</f>
        <v>Shelter</v>
      </c>
      <c r="C115" s="650" t="str">
        <f ca="1">IFERROR(__xludf.DUMMYFUNCTION("""COMPUTED_VALUE"""),"Settlement")</f>
        <v>Settlement</v>
      </c>
      <c r="D115" s="628" t="str">
        <f ca="1">IFERROR(__xludf.DUMMYFUNCTION("""COMPUTED_VALUE"""),"Humanitarian conditions")</f>
        <v>Humanitarian conditions</v>
      </c>
      <c r="E115" s="628" t="str">
        <f ca="1">IFERROR(__xludf.DUMMYFUNCTION("""COMPUTED_VALUE"""),"Living Standards")</f>
        <v>Living Standards</v>
      </c>
      <c r="F115" s="650" t="str">
        <f ca="1">IFERROR(__xludf.DUMMYFUNCTION("""COMPUTED_VALUE"""),"% of HHs who are currently living in unsafe/unhealthy areas affected by community hazards")</f>
        <v>% of HHs who are currently living in unsafe/unhealthy areas affected by community hazards</v>
      </c>
      <c r="G115" s="628"/>
      <c r="H115" s="628"/>
      <c r="I115" s="628"/>
      <c r="J115" s="628"/>
      <c r="K115" s="650" t="str">
        <f ca="1">IFERROR(__xludf.DUMMYFUNCTION("""COMPUTED_VALUE"""),"Household:  Household is safe and protected from community hazards.  no community hazards have been identified")</f>
        <v>Household:  Household is safe and protected from community hazards.  no community hazards have been identified</v>
      </c>
      <c r="L115" s="650" t="str">
        <f ca="1">IFERROR(__xludf.DUMMYFUNCTION("""COMPUTED_VALUE"""),"Household:  Household is mostly safe and protected from community hazards.  Some community hazards are present but household is isolated from them.")</f>
        <v>Household:  Household is mostly safe and protected from community hazards.  Some community hazards are present but household is isolated from them.</v>
      </c>
      <c r="M115" s="650" t="str">
        <f ca="1">IFERROR(__xludf.DUMMYFUNCTION("""COMPUTED_VALUE"""),"Household:  Household is moderately unsafe due to community level hazards.  Community hazards have been identified and although the household may not have been affected yet there is a high likelihood of impact.")</f>
        <v>Household:  Household is moderately unsafe due to community level hazards.  Community hazards have been identified and although the household may not have been affected yet there is a high likelihood of impact.</v>
      </c>
      <c r="N115" s="650" t="str">
        <f ca="1">IFERROR(__xludf.DUMMYFUNCTION("""COMPUTED_VALUE"""),"Household:  Household is severely unsafe due to community hazards.  Hazards are present and the household has been affected.")</f>
        <v>Household:  Household is severely unsafe due to community hazards.  Hazards are present and the household has been affected.</v>
      </c>
      <c r="O115" s="650" t="str">
        <f ca="1">IFERROR(__xludf.DUMMYFUNCTION("""COMPUTED_VALUE"""),"Household:  Household is severely unsafe due to community hazards.  Hazards are present and the household has been irreversibly affected.")</f>
        <v>Household:  Household is severely unsafe due to community hazards.  Hazards are present and the household has been irreversibly affected.</v>
      </c>
      <c r="P115" s="628"/>
      <c r="Q115" s="372"/>
      <c r="R115" s="372"/>
      <c r="S115" s="372"/>
    </row>
    <row r="116" spans="1:19" s="259" customFormat="1" ht="12.5">
      <c r="A116" s="655">
        <f ca="1">IFERROR(__xludf.DUMMYFUNCTION("""COMPUTED_VALUE"""),107)</f>
        <v>107</v>
      </c>
      <c r="B116" s="628" t="str">
        <f ca="1">IFERROR(__xludf.DUMMYFUNCTION("""COMPUTED_VALUE"""),"Shelter")</f>
        <v>Shelter</v>
      </c>
      <c r="C116" s="628" t="str">
        <f ca="1">IFERROR(__xludf.DUMMYFUNCTION("""COMPUTED_VALUE"""),"Settlement")</f>
        <v>Settlement</v>
      </c>
      <c r="D116" s="628" t="str">
        <f ca="1">IFERROR(__xludf.DUMMYFUNCTION("""COMPUTED_VALUE"""),"Humanitarian conditions")</f>
        <v>Humanitarian conditions</v>
      </c>
      <c r="E116" s="258" t="str">
        <f ca="1">IFERROR(__xludf.DUMMYFUNCTION("""COMPUTED_VALUE"""),"Living Standards")</f>
        <v>Living Standards</v>
      </c>
      <c r="F116" s="628" t="str">
        <f ca="1">IFERROR(__xludf.DUMMYFUNCTION("""COMPUTED_VALUE"""),"% of HHs without clear security of tenure within their community")</f>
        <v>% of HHs without clear security of tenure within their community</v>
      </c>
      <c r="G116" s="628"/>
      <c r="H116" s="629">
        <f ca="1">IFERROR(__xludf.DUMMYFUNCTION("""COMPUTED_VALUE"""),1)</f>
        <v>1</v>
      </c>
      <c r="I116" s="628" t="str">
        <f ca="1">IFERROR(__xludf.DUMMYFUNCTION("""COMPUTED_VALUE"""),"KII/HH")</f>
        <v>KII/HH</v>
      </c>
      <c r="J116" s="628" t="str">
        <f ca="1">IFERROR(__xludf.DUMMYFUNCTION("""COMPUTED_VALUE"""),"Shelter Cluster assessments")</f>
        <v>Shelter Cluster assessments</v>
      </c>
      <c r="K116" s="628" t="str">
        <f ca="1">IFERROR(__xludf.DUMMYFUNCTION("""COMPUTED_VALUE"""),"Less than 10% of HH are settled in Severe or worse conditions
Household: HH has tenure security with no HLP issues (clear ownership, rental agreements, rights are enforced, etc.)")</f>
        <v>Less than 10% of HH are settled in Severe or worse conditions
Household: HH has tenure security with no HLP issues (clear ownership, rental agreements, rights are enforced, etc.)</v>
      </c>
      <c r="L116" s="628" t="str">
        <f ca="1">IFERROR(__xludf.DUMMYFUNCTION("""COMPUTED_VALUE"""),"More than 10% of HH are settled in Severe or worse conditions
Household:  HH has tenure security with minor HLP issues")</f>
        <v>More than 10% of HH are settled in Severe or worse conditions
Household:  HH has tenure security with minor HLP issues</v>
      </c>
      <c r="M116" s="628" t="str">
        <f ca="1">IFERROR(__xludf.DUMMYFUNCTION("""COMPUTED_VALUE"""),"More than 20% of HH are settled in Severe or worse conditions
 Household: HH has tenure security with significant HLP issues")</f>
        <v>More than 20% of HH are settled in Severe or worse conditions
 Household: HH has tenure security with significant HLP issues</v>
      </c>
      <c r="N116" s="628" t="str">
        <f ca="1">IFERROR(__xludf.DUMMYFUNCTION("""COMPUTED_VALUE"""),"More than 20% of HH are settled in Extreme or Catastrophic conditions
Household:  HH has no tenure security with significant HLP issues")</f>
        <v>More than 20% of HH are settled in Extreme or Catastrophic conditions
Household:  HH has no tenure security with significant HLP issues</v>
      </c>
      <c r="O116" s="628" t="str">
        <f ca="1">IFERROR(__xludf.DUMMYFUNCTION("""COMPUTED_VALUE"""),"More than 40% of HH are settled in Extreme or Catastrophic conditions
 Household: HH has no tenure security and is evicted with major HLP issues")</f>
        <v>More than 40% of HH are settled in Extreme or Catastrophic conditions
 Household: HH has no tenure security and is evicted with major HLP issues</v>
      </c>
      <c r="P116" s="628"/>
      <c r="Q116" s="372"/>
      <c r="R116" s="372"/>
      <c r="S116" s="372"/>
    </row>
    <row r="117" spans="1:19" ht="12.5">
      <c r="A117" s="657">
        <f ca="1">IFERROR(__xludf.DUMMYFUNCTION("""COMPUTED_VALUE"""),108)</f>
        <v>108</v>
      </c>
      <c r="B117" s="625" t="str">
        <f ca="1">IFERROR(__xludf.DUMMYFUNCTION("""COMPUTED_VALUE"""),"WASH")</f>
        <v>WASH</v>
      </c>
      <c r="C117" s="625" t="str">
        <f ca="1">IFERROR(__xludf.DUMMYFUNCTION("""COMPUTED_VALUE"""),"Hygiene")</f>
        <v>Hygiene</v>
      </c>
      <c r="D117" s="625" t="str">
        <f ca="1">IFERROR(__xludf.DUMMYFUNCTION("""COMPUTED_VALUE"""),"Humanitarian conditions")</f>
        <v>Humanitarian conditions</v>
      </c>
      <c r="E117" s="625" t="str">
        <f ca="1">IFERROR(__xludf.DUMMYFUNCTION("""COMPUTED_VALUE"""),"Coping Mechanisms")</f>
        <v>Coping Mechanisms</v>
      </c>
      <c r="F117" s="625" t="str">
        <f ca="1">IFERROR(__xludf.DUMMYFUNCTION("""COMPUTED_VALUE"""),"% of HHs engaging in negative coping mechanisms to WASH access issues")</f>
        <v>% of HHs engaging in negative coping mechanisms to WASH access issues</v>
      </c>
      <c r="G117" s="625"/>
      <c r="H117" s="626">
        <f ca="1">IFERROR(__xludf.DUMMYFUNCTION("""COMPUTED_VALUE"""),3)</f>
        <v>3</v>
      </c>
      <c r="I117" s="625" t="str">
        <f ca="1">IFERROR(__xludf.DUMMYFUNCTION("""COMPUTED_VALUE"""),"HH survey / KI")</f>
        <v>HH survey / KI</v>
      </c>
      <c r="J117" s="625" t="str">
        <f ca="1">IFERROR(__xludf.DUMMYFUNCTION("""COMPUTED_VALUE"""),"WASH Specific assessments / MSNA / DTM")</f>
        <v>WASH Specific assessments / MSNA / DTM</v>
      </c>
      <c r="K117" s="625" t="str">
        <f ca="1">IFERROR(__xludf.DUMMYFUNCTION("""COMPUTED_VALUE"""),"0-20")</f>
        <v>0-20</v>
      </c>
      <c r="L117" s="625" t="str">
        <f ca="1">IFERROR(__xludf.DUMMYFUNCTION("""COMPUTED_VALUE"""),"21-40")</f>
        <v>21-40</v>
      </c>
      <c r="M117" s="625" t="str">
        <f ca="1">IFERROR(__xludf.DUMMYFUNCTION("""COMPUTED_VALUE"""),"41-60")</f>
        <v>41-60</v>
      </c>
      <c r="N117" s="625" t="str">
        <f ca="1">IFERROR(__xludf.DUMMYFUNCTION("""COMPUTED_VALUE"""),"61-80")</f>
        <v>61-80</v>
      </c>
      <c r="O117" s="625" t="str">
        <f ca="1">IFERROR(__xludf.DUMMYFUNCTION("""COMPUTED_VALUE"""),"81-100")</f>
        <v>81-100</v>
      </c>
      <c r="P117" s="625"/>
    </row>
    <row r="118" spans="1:19" ht="12.5">
      <c r="A118" s="657">
        <f ca="1">IFERROR(__xludf.DUMMYFUNCTION("""COMPUTED_VALUE"""),109)</f>
        <v>109</v>
      </c>
      <c r="B118" s="625" t="str">
        <f ca="1">IFERROR(__xludf.DUMMYFUNCTION("""COMPUTED_VALUE"""),"WASH")</f>
        <v>WASH</v>
      </c>
      <c r="C118" s="625" t="str">
        <f ca="1">IFERROR(__xludf.DUMMYFUNCTION("""COMPUTED_VALUE"""),"Hygiene")</f>
        <v>Hygiene</v>
      </c>
      <c r="D118" s="625" t="str">
        <f ca="1">IFERROR(__xludf.DUMMYFUNCTION("""COMPUTED_VALUE"""),"Humanitarian conditions")</f>
        <v>Humanitarian conditions</v>
      </c>
      <c r="E118" s="625" t="str">
        <f ca="1">IFERROR(__xludf.DUMMYFUNCTION("""COMPUTED_VALUE"""),"Physical and Mental Wellbeing")</f>
        <v>Physical and Mental Wellbeing</v>
      </c>
      <c r="F118" s="625" t="str">
        <f ca="1">IFERROR(__xludf.DUMMYFUNCTION("""COMPUTED_VALUE"""),"% of HHs having access to sufficient handwashing facilities")</f>
        <v>% of HHs having access to sufficient handwashing facilities</v>
      </c>
      <c r="G118" s="625"/>
      <c r="H118" s="626">
        <f ca="1">IFERROR(__xludf.DUMMYFUNCTION("""COMPUTED_VALUE"""),1)</f>
        <v>1</v>
      </c>
      <c r="I118" s="625" t="str">
        <f ca="1">IFERROR(__xludf.DUMMYFUNCTION("""COMPUTED_VALUE"""),"HH survey / KI")</f>
        <v>HH survey / KI</v>
      </c>
      <c r="J118" s="625" t="str">
        <f ca="1">IFERROR(__xludf.DUMMYFUNCTION("""COMPUTED_VALUE"""),"WASH Specific assessments / MSNA / DTM")</f>
        <v>WASH Specific assessments / MSNA / DTM</v>
      </c>
      <c r="K118" s="625" t="str">
        <f ca="1">IFERROR(__xludf.DUMMYFUNCTION("""COMPUTED_VALUE"""),"Soap is available at home AND handwashing facility is on premises with soap and water available")</f>
        <v>Soap is available at home AND handwashing facility is on premises with soap and water available</v>
      </c>
      <c r="L118" s="625"/>
      <c r="M118" s="625" t="str">
        <f ca="1">IFERROR(__xludf.DUMMYFUNCTION("""COMPUTED_VALUE"""),"Soap is available at home BUT no handwashing facility on premises with soap and water")</f>
        <v>Soap is available at home BUT no handwashing facility on premises with soap and water</v>
      </c>
      <c r="N118" s="625"/>
      <c r="O118" s="625" t="str">
        <f ca="1">IFERROR(__xludf.DUMMYFUNCTION("""COMPUTED_VALUE"""),"Soap is not available at home")</f>
        <v>Soap is not available at home</v>
      </c>
      <c r="P118" s="625"/>
    </row>
    <row r="119" spans="1:19" ht="12.5">
      <c r="A119" s="657">
        <f ca="1">IFERROR(__xludf.DUMMYFUNCTION("""COMPUTED_VALUE"""),110)</f>
        <v>110</v>
      </c>
      <c r="B119" s="625" t="str">
        <f ca="1">IFERROR(__xludf.DUMMYFUNCTION("""COMPUTED_VALUE"""),"WASH")</f>
        <v>WASH</v>
      </c>
      <c r="C119" s="625" t="str">
        <f ca="1">IFERROR(__xludf.DUMMYFUNCTION("""COMPUTED_VALUE"""),"Sanitation")</f>
        <v>Sanitation</v>
      </c>
      <c r="D119" s="625" t="str">
        <f ca="1">IFERROR(__xludf.DUMMYFUNCTION("""COMPUTED_VALUE"""),"Humanitarian conditions")</f>
        <v>Humanitarian conditions</v>
      </c>
      <c r="E119" s="625" t="str">
        <f ca="1">IFERROR(__xludf.DUMMYFUNCTION("""COMPUTED_VALUE"""),"Living Standards")</f>
        <v>Living Standards</v>
      </c>
      <c r="F119" s="625" t="str">
        <f ca="1">IFERROR(__xludf.DUMMYFUNCTION("""COMPUTED_VALUE"""),"% of HHs facing environmental sanitation problems (living in areas where solid waste, waterwaste, open defecation was visible around their accommodation - 30 meters or less)")</f>
        <v>% of HHs facing environmental sanitation problems (living in areas where solid waste, waterwaste, open defecation was visible around their accommodation - 30 meters or less)</v>
      </c>
      <c r="G119" s="625"/>
      <c r="H119" s="626">
        <f ca="1">IFERROR(__xludf.DUMMYFUNCTION("""COMPUTED_VALUE"""),3)</f>
        <v>3</v>
      </c>
      <c r="I119" s="625" t="str">
        <f ca="1">IFERROR(__xludf.DUMMYFUNCTION("""COMPUTED_VALUE"""),"HH survey / KI")</f>
        <v>HH survey / KI</v>
      </c>
      <c r="J119" s="625" t="str">
        <f ca="1">IFERROR(__xludf.DUMMYFUNCTION("""COMPUTED_VALUE"""),"WASH Specific assessments / MSNA / DTM")</f>
        <v>WASH Specific assessments / MSNA / DTM</v>
      </c>
      <c r="K119" s="625" t="str">
        <f ca="1">IFERROR(__xludf.DUMMYFUNCTION("""COMPUTED_VALUE"""),"No environmental hazard was always visible")</f>
        <v>No environmental hazard was always visible</v>
      </c>
      <c r="L119" s="625" t="str">
        <f ca="1">IFERROR(__xludf.DUMMYFUNCTION("""COMPUTED_VALUE"""),"At least one environmental hazard was always visible")</f>
        <v>At least one environmental hazard was always visible</v>
      </c>
      <c r="M119" s="625" t="str">
        <f ca="1">IFERROR(__xludf.DUMMYFUNCTION("""COMPUTED_VALUE"""),"At least two environmental hazards were always visible")</f>
        <v>At least two environmental hazards were always visible</v>
      </c>
      <c r="N119" s="625" t="str">
        <f ca="1">IFERROR(__xludf.DUMMYFUNCTION("""COMPUTED_VALUE"""),"At least three environmental hazards were always visible")</f>
        <v>At least three environmental hazards were always visible</v>
      </c>
      <c r="O119" s="625" t="str">
        <f ca="1">IFERROR(__xludf.DUMMYFUNCTION("""COMPUTED_VALUE"""),"At least four environmental hazards were always visible")</f>
        <v>At least four environmental hazards were always visible</v>
      </c>
      <c r="P119" s="625"/>
    </row>
    <row r="120" spans="1:19" ht="12.5">
      <c r="A120" s="657">
        <f ca="1">IFERROR(__xludf.DUMMYFUNCTION("""COMPUTED_VALUE"""),111)</f>
        <v>111</v>
      </c>
      <c r="B120" s="625" t="str">
        <f ca="1">IFERROR(__xludf.DUMMYFUNCTION("""COMPUTED_VALUE"""),"WASH")</f>
        <v>WASH</v>
      </c>
      <c r="C120" s="625" t="str">
        <f ca="1">IFERROR(__xludf.DUMMYFUNCTION("""COMPUTED_VALUE"""),"Sanitation")</f>
        <v>Sanitation</v>
      </c>
      <c r="D120" s="625" t="str">
        <f ca="1">IFERROR(__xludf.DUMMYFUNCTION("""COMPUTED_VALUE"""),"Humanitarian conditions")</f>
        <v>Humanitarian conditions</v>
      </c>
      <c r="E120" s="625" t="str">
        <f ca="1">IFERROR(__xludf.DUMMYFUNCTION("""COMPUTED_VALUE"""),"Physical and Mental Wellbeing")</f>
        <v>Physical and Mental Wellbeing</v>
      </c>
      <c r="F120" s="625" t="str">
        <f ca="1">IFERROR(__xludf.DUMMYFUNCTION("""COMPUTED_VALUE"""),"% of HHs having sufficient access to a functionnal and improved sanitation facility")</f>
        <v>% of HHs having sufficient access to a functionnal and improved sanitation facility</v>
      </c>
      <c r="G120" s="625"/>
      <c r="H120" s="626">
        <f ca="1">IFERROR(__xludf.DUMMYFUNCTION("""COMPUTED_VALUE"""),1)</f>
        <v>1</v>
      </c>
      <c r="I120" s="625" t="str">
        <f ca="1">IFERROR(__xludf.DUMMYFUNCTION("""COMPUTED_VALUE"""),"HH survey / KI")</f>
        <v>HH survey / KI</v>
      </c>
      <c r="J120" s="625" t="str">
        <f ca="1">IFERROR(__xludf.DUMMYFUNCTION("""COMPUTED_VALUE"""),"WASH Specific assessments / MSNA / DTM")</f>
        <v>WASH Specific assessments / MSNA / DTM</v>
      </c>
      <c r="K120" s="625" t="str">
        <f ca="1">IFERROR(__xludf.DUMMYFUNCTION("""COMPUTED_VALUE"""),"Access to improved sanitation facilities, not shared with other households")</f>
        <v>Access to improved sanitation facilities, not shared with other households</v>
      </c>
      <c r="L120" s="625" t="str">
        <f ca="1">IFERROR(__xludf.DUMMYFUNCTION("""COMPUTED_VALUE"""),"Access to improved sanitation facilities, shared with less than 20 people")</f>
        <v>Access to improved sanitation facilities, shared with less than 20 people</v>
      </c>
      <c r="M120" s="625" t="str">
        <f ca="1">IFERROR(__xludf.DUMMYFUNCTION("""COMPUTED_VALUE"""),"Access to improved sanitation facilities, shared with more than 20 people")</f>
        <v>Access to improved sanitation facilities, shared with more than 20 people</v>
      </c>
      <c r="N120" s="625" t="str">
        <f ca="1">IFERROR(__xludf.DUMMYFUNCTION("""COMPUTED_VALUE"""),"Access to unimproved facilities OR access to improved facilities shared with more than 50 people")</f>
        <v>Access to unimproved facilities OR access to improved facilities shared with more than 50 people</v>
      </c>
      <c r="O120" s="625" t="str">
        <f ca="1">IFERROR(__xludf.DUMMYFUNCTION("""COMPUTED_VALUE"""),"Disposal of human faeces in open spaces or with solid waste")</f>
        <v>Disposal of human faeces in open spaces or with solid waste</v>
      </c>
      <c r="P120" s="625"/>
    </row>
    <row r="121" spans="1:19" ht="13">
      <c r="A121" s="657">
        <f ca="1">IFERROR(__xludf.DUMMYFUNCTION("""COMPUTED_VALUE"""),112)</f>
        <v>112</v>
      </c>
      <c r="B121" s="625" t="str">
        <f ca="1">IFERROR(__xludf.DUMMYFUNCTION("""COMPUTED_VALUE"""),"WASH")</f>
        <v>WASH</v>
      </c>
      <c r="C121" s="625" t="str">
        <f ca="1">IFERROR(__xludf.DUMMYFUNCTION("""COMPUTED_VALUE"""),"Water")</f>
        <v>Water</v>
      </c>
      <c r="D121" s="625" t="str">
        <f ca="1">IFERROR(__xludf.DUMMYFUNCTION("""COMPUTED_VALUE"""),"Humanitarian conditions")</f>
        <v>Humanitarian conditions</v>
      </c>
      <c r="E121" s="625" t="str">
        <f ca="1">IFERROR(__xludf.DUMMYFUNCTION("""COMPUTED_VALUE"""),"Physical and Mental Wellbeing")</f>
        <v>Physical and Mental Wellbeing</v>
      </c>
      <c r="F121" s="627" t="str">
        <f ca="1">IFERROR(__xludf.DUMMYFUNCTION("""COMPUTED_VALUE"""),"% of HHs having access to a sufficient quantity of water for drinking, cooking, bathing, washing or other domestic use")</f>
        <v>% of HHs having access to a sufficient quantity of water for drinking, cooking, bathing, washing or other domestic use</v>
      </c>
      <c r="G121" s="625"/>
      <c r="H121" s="626">
        <f ca="1">IFERROR(__xludf.DUMMYFUNCTION("""COMPUTED_VALUE"""),2)</f>
        <v>2</v>
      </c>
      <c r="I121" s="625" t="str">
        <f ca="1">IFERROR(__xludf.DUMMYFUNCTION("""COMPUTED_VALUE"""),"HH survey / KI")</f>
        <v>HH survey / KI</v>
      </c>
      <c r="J121" s="625" t="str">
        <f ca="1">IFERROR(__xludf.DUMMYFUNCTION("""COMPUTED_VALUE"""),"WASH Specific assessments / MSNA / DTM")</f>
        <v>WASH Specific assessments / MSNA / DTM</v>
      </c>
      <c r="K121" s="625" t="str">
        <f ca="1">IFERROR(__xludf.DUMMYFUNCTION("""COMPUTED_VALUE"""),"Enough water for drinking, cooking, personal hygiene and other domestic purposes OR more than 50 l/d/p")</f>
        <v>Enough water for drinking, cooking, personal hygiene and other domestic purposes OR more than 50 l/d/p</v>
      </c>
      <c r="L121" s="625" t="str">
        <f ca="1">IFERROR(__xludf.DUMMYFUNCTION("""COMPUTED_VALUE"""),"Enough water for drinking AND cooking AND personal hygiene, BUT NOT for other domestic purposes OR 15 or more but less than 50 l/d/p")</f>
        <v>Enough water for drinking AND cooking AND personal hygiene, BUT NOT for other domestic purposes OR 15 or more but less than 50 l/d/p</v>
      </c>
      <c r="M121" s="625" t="str">
        <f ca="1">IFERROR(__xludf.DUMMYFUNCTION("""COMPUTED_VALUE"""),"Enough water for drinking AND EITHER cooking OR personal hygiene OR 9 or more but less than 15 l/d/p")</f>
        <v>Enough water for drinking AND EITHER cooking OR personal hygiene OR 9 or more but less than 15 l/d/p</v>
      </c>
      <c r="N121" s="625" t="str">
        <f ca="1">IFERROR(__xludf.DUMMYFUNCTION("""COMPUTED_VALUE"""),"Enough water for drinking BUT NOT for cooking AND personal hygiene OR 3 or more but less than 9 l/d/p")</f>
        <v>Enough water for drinking BUT NOT for cooking AND personal hygiene OR 3 or more but less than 9 l/d/p</v>
      </c>
      <c r="O121" s="625" t="str">
        <f ca="1">IFERROR(__xludf.DUMMYFUNCTION("""COMPUTED_VALUE"""),"Not enough water for drinking OR Less than 3 l/d/p")</f>
        <v>Not enough water for drinking OR Less than 3 l/d/p</v>
      </c>
      <c r="P121" s="625"/>
    </row>
    <row r="122" spans="1:19" ht="12.5">
      <c r="A122" s="657">
        <f ca="1">IFERROR(__xludf.DUMMYFUNCTION("""COMPUTED_VALUE"""),113)</f>
        <v>113</v>
      </c>
      <c r="B122" s="625" t="str">
        <f ca="1">IFERROR(__xludf.DUMMYFUNCTION("""COMPUTED_VALUE"""),"WASH")</f>
        <v>WASH</v>
      </c>
      <c r="C122" s="625" t="str">
        <f ca="1">IFERROR(__xludf.DUMMYFUNCTION("""COMPUTED_VALUE"""),"Water")</f>
        <v>Water</v>
      </c>
      <c r="D122" s="625" t="str">
        <f ca="1">IFERROR(__xludf.DUMMYFUNCTION("""COMPUTED_VALUE"""),"Humanitarian Conditions")</f>
        <v>Humanitarian Conditions</v>
      </c>
      <c r="E122" s="625" t="str">
        <f ca="1">IFERROR(__xludf.DUMMYFUNCTION("""COMPUTED_VALUE"""),"Physical and Mental Wellbeing")</f>
        <v>Physical and Mental Wellbeing</v>
      </c>
      <c r="F122" s="625" t="str">
        <f ca="1">IFERROR(__xludf.DUMMYFUNCTION("""COMPUTED_VALUE"""),"% of HHs having access to water sources of sufficient quality and availability")</f>
        <v>% of HHs having access to water sources of sufficient quality and availability</v>
      </c>
      <c r="G122" s="625"/>
      <c r="H122" s="626">
        <f ca="1">IFERROR(__xludf.DUMMYFUNCTION("""COMPUTED_VALUE"""),1)</f>
        <v>1</v>
      </c>
      <c r="I122" s="625" t="str">
        <f ca="1">IFERROR(__xludf.DUMMYFUNCTION("""COMPUTED_VALUE"""),"HH survey / KI")</f>
        <v>HH survey / KI</v>
      </c>
      <c r="J122" s="625" t="str">
        <f ca="1">IFERROR(__xludf.DUMMYFUNCTION("""COMPUTED_VALUE"""),"WASH Specific assessments / MSNA / DTM")</f>
        <v>WASH Specific assessments / MSNA / DTM</v>
      </c>
      <c r="K122" s="625" t="str">
        <f ca="1">IFERROR(__xludf.DUMMYFUNCTION("""COMPUTED_VALUE"""),"Water comes from an improved water source which is located on premises")</f>
        <v>Water comes from an improved water source which is located on premises</v>
      </c>
      <c r="L122" s="625" t="str">
        <f ca="1">IFERROR(__xludf.DUMMYFUNCTION("""COMPUTED_VALUE"""),"Water comes from an improved water source, provided collection time is not more than 30 minutes for a roundtrip, including queuing")</f>
        <v>Water comes from an improved water source, provided collection time is not more than 30 minutes for a roundtrip, including queuing</v>
      </c>
      <c r="M122" s="625" t="str">
        <f ca="1">IFERROR(__xludf.DUMMYFUNCTION("""COMPUTED_VALUE"""),"Water comes from an improved source for which collection time exceeds 30 minutes for a roundtrip, including queuing")</f>
        <v>Water comes from an improved source for which collection time exceeds 30 minutes for a roundtrip, including queuing</v>
      </c>
      <c r="N122" s="625" t="str">
        <f ca="1">IFERROR(__xludf.DUMMYFUNCTION("""COMPUTED_VALUE"""),"Water comes from an unimproved water source")</f>
        <v>Water comes from an unimproved water source</v>
      </c>
      <c r="O122" s="625" t="str">
        <f ca="1">IFERROR(__xludf.DUMMYFUNCTION("""COMPUTED_VALUE"""),"Water comes directly from rivers, lakes, ponds, etc.")</f>
        <v>Water comes directly from rivers, lakes, ponds, etc.</v>
      </c>
      <c r="P122" s="625"/>
    </row>
    <row r="123" spans="1:19" ht="12.5">
      <c r="A123" s="658"/>
      <c r="B123" s="382"/>
      <c r="C123" s="382"/>
      <c r="D123" s="382"/>
      <c r="E123" s="433"/>
      <c r="F123" s="382"/>
      <c r="G123" s="382"/>
      <c r="H123" s="382"/>
      <c r="I123" s="382"/>
      <c r="J123" s="382"/>
      <c r="K123" s="382"/>
      <c r="L123" s="382"/>
      <c r="M123" s="382"/>
      <c r="N123" s="382"/>
      <c r="O123" s="382"/>
      <c r="P123" s="382"/>
    </row>
    <row r="124" spans="1:19" ht="12.5">
      <c r="A124" s="658"/>
      <c r="B124" s="382"/>
      <c r="C124" s="382"/>
      <c r="D124" s="382"/>
      <c r="E124" s="433"/>
      <c r="F124" s="382"/>
      <c r="G124" s="382"/>
      <c r="H124" s="382"/>
      <c r="I124" s="382"/>
      <c r="J124" s="382"/>
      <c r="K124" s="382"/>
      <c r="L124" s="382"/>
      <c r="M124" s="382"/>
      <c r="N124" s="382"/>
      <c r="O124" s="382"/>
      <c r="P124" s="382"/>
    </row>
    <row r="125" spans="1:19" ht="12.5">
      <c r="A125" s="658"/>
      <c r="B125" s="382"/>
      <c r="C125" s="382"/>
      <c r="D125" s="382"/>
      <c r="E125" s="433"/>
      <c r="F125" s="382"/>
      <c r="G125" s="382"/>
      <c r="H125" s="382"/>
      <c r="I125" s="382"/>
      <c r="J125" s="382"/>
      <c r="K125" s="382"/>
      <c r="L125" s="382"/>
      <c r="M125" s="382"/>
      <c r="N125" s="382"/>
      <c r="O125" s="382"/>
      <c r="P125" s="382"/>
    </row>
    <row r="126" spans="1:19" ht="12.5">
      <c r="A126" s="658"/>
      <c r="B126" s="382"/>
      <c r="C126" s="382"/>
      <c r="D126" s="382"/>
      <c r="E126" s="433"/>
      <c r="F126" s="382"/>
      <c r="G126" s="382"/>
      <c r="H126" s="382"/>
      <c r="I126" s="382"/>
      <c r="J126" s="382"/>
      <c r="K126" s="382"/>
      <c r="L126" s="382"/>
      <c r="M126" s="382"/>
      <c r="N126" s="382"/>
      <c r="O126" s="382"/>
      <c r="P126" s="382"/>
    </row>
    <row r="127" spans="1:19" ht="12.5">
      <c r="A127" s="658"/>
      <c r="B127" s="382"/>
      <c r="C127" s="382"/>
      <c r="D127" s="382"/>
      <c r="E127" s="433"/>
      <c r="F127" s="382"/>
      <c r="G127" s="382"/>
      <c r="H127" s="382"/>
      <c r="I127" s="382"/>
      <c r="J127" s="382"/>
      <c r="K127" s="382"/>
      <c r="L127" s="382"/>
      <c r="M127" s="382"/>
      <c r="N127" s="382"/>
      <c r="O127" s="382"/>
      <c r="P127" s="382"/>
    </row>
    <row r="128" spans="1:19" ht="12.5">
      <c r="A128" s="658"/>
      <c r="B128" s="382"/>
      <c r="C128" s="382"/>
      <c r="D128" s="382"/>
      <c r="E128" s="433"/>
      <c r="F128" s="382"/>
      <c r="G128" s="382"/>
      <c r="H128" s="382"/>
      <c r="I128" s="382"/>
      <c r="J128" s="382"/>
      <c r="K128" s="382"/>
      <c r="L128" s="382"/>
      <c r="M128" s="382"/>
      <c r="N128" s="382"/>
      <c r="O128" s="382"/>
      <c r="P128" s="382"/>
    </row>
    <row r="129" spans="1:16" ht="12.5">
      <c r="A129" s="658"/>
      <c r="B129" s="382"/>
      <c r="C129" s="382"/>
      <c r="D129" s="382"/>
      <c r="E129" s="433"/>
      <c r="F129" s="382"/>
      <c r="G129" s="382"/>
      <c r="H129" s="382"/>
      <c r="I129" s="382"/>
      <c r="J129" s="382"/>
      <c r="K129" s="382"/>
      <c r="L129" s="382"/>
      <c r="M129" s="382"/>
      <c r="N129" s="382"/>
      <c r="O129" s="382"/>
      <c r="P129" s="382"/>
    </row>
    <row r="130" spans="1:16" ht="12.5">
      <c r="A130" s="658"/>
      <c r="B130" s="382"/>
      <c r="C130" s="382"/>
      <c r="D130" s="382"/>
      <c r="E130" s="433"/>
      <c r="F130" s="382"/>
      <c r="G130" s="382"/>
      <c r="H130" s="382"/>
      <c r="I130" s="382"/>
      <c r="J130" s="382"/>
      <c r="K130" s="382"/>
      <c r="L130" s="382"/>
      <c r="M130" s="382"/>
      <c r="N130" s="382"/>
      <c r="O130" s="382"/>
      <c r="P130" s="382"/>
    </row>
    <row r="131" spans="1:16" ht="12.5">
      <c r="A131" s="658"/>
      <c r="B131" s="382"/>
      <c r="C131" s="382"/>
      <c r="D131" s="382"/>
      <c r="E131" s="433"/>
      <c r="F131" s="382"/>
      <c r="G131" s="382"/>
      <c r="H131" s="382"/>
      <c r="I131" s="382"/>
      <c r="J131" s="382"/>
      <c r="K131" s="382"/>
      <c r="L131" s="382"/>
      <c r="M131" s="382"/>
      <c r="N131" s="382"/>
      <c r="O131" s="382"/>
      <c r="P131" s="382"/>
    </row>
    <row r="132" spans="1:16" ht="12.5">
      <c r="A132" s="658"/>
      <c r="B132" s="382"/>
      <c r="C132" s="382"/>
      <c r="D132" s="382"/>
      <c r="E132" s="433"/>
      <c r="F132" s="382"/>
      <c r="G132" s="382"/>
      <c r="H132" s="382"/>
      <c r="I132" s="382"/>
      <c r="J132" s="382"/>
      <c r="K132" s="382"/>
      <c r="L132" s="382"/>
      <c r="M132" s="382"/>
      <c r="N132" s="382"/>
      <c r="O132" s="382"/>
      <c r="P132" s="382"/>
    </row>
    <row r="133" spans="1:16" ht="12.5">
      <c r="A133" s="658"/>
      <c r="B133" s="382"/>
      <c r="C133" s="382"/>
      <c r="D133" s="382"/>
      <c r="E133" s="433"/>
      <c r="F133" s="382"/>
      <c r="G133" s="382"/>
      <c r="H133" s="382"/>
      <c r="I133" s="382"/>
      <c r="J133" s="382"/>
      <c r="K133" s="382"/>
      <c r="L133" s="382"/>
      <c r="M133" s="382"/>
      <c r="N133" s="382"/>
      <c r="O133" s="382"/>
      <c r="P133" s="382"/>
    </row>
    <row r="134" spans="1:16" ht="12.5">
      <c r="A134" s="658"/>
      <c r="B134" s="382"/>
      <c r="C134" s="382"/>
      <c r="D134" s="382"/>
      <c r="E134" s="433"/>
      <c r="F134" s="382"/>
      <c r="G134" s="382"/>
      <c r="H134" s="382"/>
      <c r="I134" s="382"/>
      <c r="J134" s="382"/>
      <c r="K134" s="382"/>
      <c r="L134" s="382"/>
      <c r="M134" s="382"/>
      <c r="N134" s="382"/>
      <c r="O134" s="382"/>
      <c r="P134" s="382"/>
    </row>
    <row r="135" spans="1:16" ht="12.5">
      <c r="A135" s="658"/>
      <c r="B135" s="382"/>
      <c r="C135" s="382"/>
      <c r="D135" s="382"/>
      <c r="E135" s="433"/>
      <c r="F135" s="382"/>
      <c r="G135" s="382"/>
      <c r="H135" s="382"/>
      <c r="I135" s="382"/>
      <c r="J135" s="382"/>
      <c r="K135" s="382"/>
      <c r="L135" s="382"/>
      <c r="M135" s="382"/>
      <c r="N135" s="382"/>
      <c r="O135" s="382"/>
      <c r="P135" s="382"/>
    </row>
    <row r="136" spans="1:16" ht="12.5">
      <c r="A136" s="658"/>
      <c r="B136" s="382"/>
      <c r="C136" s="382"/>
      <c r="D136" s="382"/>
      <c r="E136" s="433"/>
      <c r="F136" s="382"/>
      <c r="G136" s="382"/>
      <c r="H136" s="382"/>
      <c r="I136" s="382"/>
      <c r="J136" s="382"/>
      <c r="K136" s="382"/>
      <c r="L136" s="382"/>
      <c r="M136" s="382"/>
      <c r="N136" s="382"/>
      <c r="O136" s="382"/>
      <c r="P136" s="382"/>
    </row>
    <row r="137" spans="1:16" ht="12.5">
      <c r="A137" s="658"/>
      <c r="B137" s="382"/>
      <c r="C137" s="382"/>
      <c r="D137" s="382"/>
      <c r="E137" s="433"/>
      <c r="F137" s="382"/>
      <c r="G137" s="382"/>
      <c r="H137" s="382"/>
      <c r="I137" s="382"/>
      <c r="J137" s="382"/>
      <c r="K137" s="382"/>
      <c r="L137" s="382"/>
      <c r="M137" s="382"/>
      <c r="N137" s="382"/>
      <c r="O137" s="382"/>
      <c r="P137" s="382"/>
    </row>
    <row r="138" spans="1:16" ht="12.5">
      <c r="A138" s="658"/>
      <c r="B138" s="382"/>
      <c r="C138" s="382"/>
      <c r="D138" s="382"/>
      <c r="E138" s="433"/>
      <c r="F138" s="382"/>
      <c r="G138" s="382"/>
      <c r="H138" s="382"/>
      <c r="I138" s="382"/>
      <c r="J138" s="382"/>
      <c r="K138" s="382"/>
      <c r="L138" s="382"/>
      <c r="M138" s="382"/>
      <c r="N138" s="382"/>
      <c r="O138" s="382"/>
      <c r="P138" s="382"/>
    </row>
    <row r="139" spans="1:16" ht="12.5">
      <c r="A139" s="658"/>
      <c r="B139" s="382"/>
      <c r="C139" s="382"/>
      <c r="D139" s="382"/>
      <c r="E139" s="433"/>
      <c r="F139" s="382"/>
      <c r="G139" s="382"/>
      <c r="H139" s="382"/>
      <c r="I139" s="382"/>
      <c r="J139" s="382"/>
      <c r="K139" s="382"/>
      <c r="L139" s="382"/>
      <c r="M139" s="382"/>
      <c r="N139" s="382"/>
      <c r="O139" s="382"/>
      <c r="P139" s="382"/>
    </row>
    <row r="140" spans="1:16" ht="12.5">
      <c r="A140" s="658"/>
      <c r="B140" s="382"/>
      <c r="C140" s="382"/>
      <c r="D140" s="382"/>
      <c r="E140" s="433"/>
      <c r="F140" s="382"/>
      <c r="G140" s="382"/>
      <c r="H140" s="382"/>
      <c r="I140" s="382"/>
      <c r="J140" s="382"/>
      <c r="K140" s="382"/>
      <c r="L140" s="382"/>
      <c r="M140" s="382"/>
      <c r="N140" s="382"/>
      <c r="O140" s="382"/>
      <c r="P140" s="382"/>
    </row>
    <row r="141" spans="1:16" ht="12.5">
      <c r="A141" s="658"/>
      <c r="B141" s="382"/>
      <c r="C141" s="382"/>
      <c r="D141" s="382"/>
      <c r="E141" s="433"/>
      <c r="F141" s="382"/>
      <c r="G141" s="382"/>
      <c r="H141" s="382"/>
      <c r="I141" s="382"/>
      <c r="J141" s="382"/>
      <c r="K141" s="382"/>
      <c r="L141" s="382"/>
      <c r="M141" s="382"/>
      <c r="N141" s="382"/>
      <c r="O141" s="382"/>
      <c r="P141" s="382"/>
    </row>
    <row r="142" spans="1:16" ht="12.5">
      <c r="A142" s="658"/>
      <c r="B142" s="382"/>
      <c r="C142" s="382"/>
      <c r="D142" s="382"/>
      <c r="E142" s="433"/>
      <c r="F142" s="382"/>
      <c r="G142" s="382"/>
      <c r="H142" s="382"/>
      <c r="I142" s="382"/>
      <c r="J142" s="382"/>
      <c r="K142" s="382"/>
      <c r="L142" s="382"/>
      <c r="M142" s="382"/>
      <c r="N142" s="382"/>
      <c r="O142" s="382"/>
      <c r="P142" s="382"/>
    </row>
    <row r="143" spans="1:16" ht="12.5">
      <c r="A143" s="658"/>
      <c r="B143" s="382"/>
      <c r="C143" s="382"/>
      <c r="D143" s="382"/>
      <c r="E143" s="433"/>
      <c r="F143" s="382"/>
      <c r="G143" s="382"/>
      <c r="H143" s="382"/>
      <c r="I143" s="382"/>
      <c r="J143" s="382"/>
      <c r="K143" s="382"/>
      <c r="L143" s="382"/>
      <c r="M143" s="382"/>
      <c r="N143" s="382"/>
      <c r="O143" s="382"/>
      <c r="P143" s="382"/>
    </row>
    <row r="144" spans="1:16" ht="12.5">
      <c r="A144" s="658"/>
      <c r="B144" s="382"/>
      <c r="C144" s="382"/>
      <c r="D144" s="382"/>
      <c r="E144" s="433"/>
      <c r="F144" s="382"/>
      <c r="G144" s="382"/>
      <c r="H144" s="382"/>
      <c r="I144" s="382"/>
      <c r="J144" s="382"/>
      <c r="K144" s="382"/>
      <c r="L144" s="382"/>
      <c r="M144" s="382"/>
      <c r="N144" s="382"/>
      <c r="O144" s="382"/>
      <c r="P144" s="382"/>
    </row>
    <row r="145" spans="1:16" ht="12.5">
      <c r="A145" s="658"/>
      <c r="B145" s="382"/>
      <c r="C145" s="382"/>
      <c r="D145" s="382"/>
      <c r="E145" s="433"/>
      <c r="F145" s="382"/>
      <c r="G145" s="382"/>
      <c r="H145" s="382"/>
      <c r="I145" s="382"/>
      <c r="J145" s="382"/>
      <c r="K145" s="382"/>
      <c r="L145" s="382"/>
      <c r="M145" s="382"/>
      <c r="N145" s="382"/>
      <c r="O145" s="382"/>
      <c r="P145" s="382"/>
    </row>
    <row r="146" spans="1:16" ht="12.5">
      <c r="A146" s="658"/>
      <c r="B146" s="382"/>
      <c r="C146" s="382"/>
      <c r="D146" s="382"/>
      <c r="E146" s="433"/>
      <c r="F146" s="382"/>
      <c r="G146" s="382"/>
      <c r="H146" s="382"/>
      <c r="I146" s="382"/>
      <c r="J146" s="382"/>
      <c r="K146" s="382"/>
      <c r="L146" s="382"/>
      <c r="M146" s="382"/>
      <c r="N146" s="382"/>
      <c r="O146" s="382"/>
      <c r="P146" s="382"/>
    </row>
    <row r="147" spans="1:16" ht="12.5">
      <c r="A147" s="658"/>
      <c r="B147" s="382"/>
      <c r="C147" s="382"/>
      <c r="D147" s="382"/>
      <c r="E147" s="433"/>
      <c r="F147" s="382"/>
      <c r="G147" s="382"/>
      <c r="H147" s="382"/>
      <c r="I147" s="382"/>
      <c r="J147" s="382"/>
      <c r="K147" s="382"/>
      <c r="L147" s="382"/>
      <c r="M147" s="382"/>
      <c r="N147" s="382"/>
      <c r="O147" s="382"/>
      <c r="P147" s="382"/>
    </row>
    <row r="148" spans="1:16" ht="12.5">
      <c r="A148" s="658"/>
      <c r="B148" s="382"/>
      <c r="C148" s="382"/>
      <c r="D148" s="382"/>
      <c r="E148" s="433"/>
      <c r="F148" s="382"/>
      <c r="G148" s="382"/>
      <c r="H148" s="382"/>
      <c r="I148" s="382"/>
      <c r="J148" s="382"/>
      <c r="K148" s="382"/>
      <c r="L148" s="382"/>
      <c r="M148" s="382"/>
      <c r="N148" s="382"/>
      <c r="O148" s="382"/>
      <c r="P148" s="382"/>
    </row>
    <row r="149" spans="1:16" ht="12.5">
      <c r="A149" s="658"/>
      <c r="B149" s="382"/>
      <c r="C149" s="382"/>
      <c r="D149" s="382"/>
      <c r="E149" s="433"/>
      <c r="F149" s="382"/>
      <c r="G149" s="382"/>
      <c r="H149" s="382"/>
      <c r="I149" s="382"/>
      <c r="J149" s="382"/>
      <c r="K149" s="382"/>
      <c r="L149" s="382"/>
      <c r="M149" s="382"/>
      <c r="N149" s="382"/>
      <c r="O149" s="382"/>
      <c r="P149" s="382"/>
    </row>
    <row r="150" spans="1:16" ht="12.5">
      <c r="A150" s="658"/>
      <c r="B150" s="382"/>
      <c r="C150" s="382"/>
      <c r="D150" s="382"/>
      <c r="E150" s="433"/>
      <c r="F150" s="382"/>
      <c r="G150" s="382"/>
      <c r="H150" s="382"/>
      <c r="I150" s="382"/>
      <c r="J150" s="382"/>
      <c r="K150" s="382"/>
      <c r="L150" s="382"/>
      <c r="M150" s="382"/>
      <c r="N150" s="382"/>
      <c r="O150" s="382"/>
      <c r="P150" s="382"/>
    </row>
    <row r="151" spans="1:16" ht="12.5">
      <c r="A151" s="658"/>
      <c r="B151" s="382"/>
      <c r="C151" s="382"/>
      <c r="D151" s="382"/>
      <c r="E151" s="433"/>
      <c r="F151" s="382"/>
      <c r="G151" s="382"/>
      <c r="H151" s="382"/>
      <c r="I151" s="382"/>
      <c r="J151" s="382"/>
      <c r="K151" s="382"/>
      <c r="L151" s="382"/>
      <c r="M151" s="382"/>
      <c r="N151" s="382"/>
      <c r="O151" s="382"/>
      <c r="P151" s="382"/>
    </row>
    <row r="152" spans="1:16" ht="12.5">
      <c r="A152" s="658"/>
      <c r="B152" s="382"/>
      <c r="C152" s="382"/>
      <c r="D152" s="382"/>
      <c r="E152" s="433"/>
      <c r="F152" s="382"/>
      <c r="G152" s="382"/>
      <c r="H152" s="382"/>
      <c r="I152" s="382"/>
      <c r="J152" s="382"/>
      <c r="K152" s="382"/>
      <c r="L152" s="382"/>
      <c r="M152" s="382"/>
      <c r="N152" s="382"/>
      <c r="O152" s="382"/>
      <c r="P152" s="382"/>
    </row>
    <row r="153" spans="1:16" ht="12.5">
      <c r="A153" s="658"/>
      <c r="B153" s="382"/>
      <c r="C153" s="382"/>
      <c r="D153" s="382"/>
      <c r="E153" s="433"/>
      <c r="F153" s="382"/>
      <c r="G153" s="382"/>
      <c r="H153" s="382"/>
      <c r="I153" s="382"/>
      <c r="J153" s="382"/>
      <c r="K153" s="382"/>
      <c r="L153" s="382"/>
      <c r="M153" s="382"/>
      <c r="N153" s="382"/>
      <c r="O153" s="382"/>
      <c r="P153" s="382"/>
    </row>
    <row r="154" spans="1:16" ht="12.5">
      <c r="A154" s="658"/>
      <c r="B154" s="382"/>
      <c r="C154" s="382"/>
      <c r="D154" s="382"/>
      <c r="E154" s="433"/>
      <c r="F154" s="382"/>
      <c r="G154" s="382"/>
      <c r="H154" s="382"/>
      <c r="I154" s="382"/>
      <c r="J154" s="382"/>
      <c r="K154" s="382"/>
      <c r="L154" s="382"/>
      <c r="M154" s="382"/>
      <c r="N154" s="382"/>
      <c r="O154" s="382"/>
      <c r="P154" s="382"/>
    </row>
    <row r="155" spans="1:16" ht="12.5">
      <c r="A155" s="658"/>
      <c r="B155" s="382"/>
      <c r="C155" s="382"/>
      <c r="D155" s="382"/>
      <c r="E155" s="433"/>
      <c r="F155" s="382"/>
      <c r="G155" s="382"/>
      <c r="H155" s="382"/>
      <c r="I155" s="382"/>
      <c r="J155" s="382"/>
      <c r="K155" s="382"/>
      <c r="L155" s="382"/>
      <c r="M155" s="382"/>
      <c r="N155" s="382"/>
      <c r="O155" s="382"/>
      <c r="P155" s="382"/>
    </row>
    <row r="156" spans="1:16" ht="12.5">
      <c r="A156" s="658"/>
      <c r="B156" s="382"/>
      <c r="C156" s="382"/>
      <c r="D156" s="382"/>
      <c r="E156" s="433"/>
      <c r="F156" s="382"/>
      <c r="G156" s="382"/>
      <c r="H156" s="382"/>
      <c r="I156" s="382"/>
      <c r="J156" s="382"/>
      <c r="K156" s="382"/>
      <c r="L156" s="382"/>
      <c r="M156" s="382"/>
      <c r="N156" s="382"/>
      <c r="O156" s="382"/>
      <c r="P156" s="382"/>
    </row>
    <row r="157" spans="1:16" ht="12.5">
      <c r="A157" s="658"/>
      <c r="B157" s="382"/>
      <c r="C157" s="382"/>
      <c r="D157" s="382"/>
      <c r="E157" s="433"/>
      <c r="F157" s="382"/>
      <c r="G157" s="382"/>
      <c r="H157" s="382"/>
      <c r="I157" s="382"/>
      <c r="J157" s="382"/>
      <c r="K157" s="382"/>
      <c r="L157" s="382"/>
      <c r="M157" s="382"/>
      <c r="N157" s="382"/>
      <c r="O157" s="382"/>
      <c r="P157" s="382"/>
    </row>
    <row r="158" spans="1:16" ht="12.5">
      <c r="A158" s="658"/>
      <c r="B158" s="382"/>
      <c r="C158" s="382"/>
      <c r="D158" s="382"/>
      <c r="E158" s="433"/>
      <c r="F158" s="382"/>
      <c r="G158" s="382"/>
      <c r="H158" s="382"/>
      <c r="I158" s="382"/>
      <c r="J158" s="382"/>
      <c r="K158" s="382"/>
      <c r="L158" s="382"/>
      <c r="M158" s="382"/>
      <c r="N158" s="382"/>
      <c r="O158" s="382"/>
      <c r="P158" s="382"/>
    </row>
    <row r="159" spans="1:16" ht="12.5">
      <c r="A159" s="658"/>
      <c r="B159" s="382"/>
      <c r="C159" s="382"/>
      <c r="D159" s="382"/>
      <c r="E159" s="433"/>
      <c r="F159" s="382"/>
      <c r="G159" s="382"/>
      <c r="H159" s="382"/>
      <c r="I159" s="382"/>
      <c r="J159" s="382"/>
      <c r="K159" s="382"/>
      <c r="L159" s="382"/>
      <c r="M159" s="382"/>
      <c r="N159" s="382"/>
      <c r="O159" s="382"/>
      <c r="P159" s="382"/>
    </row>
    <row r="160" spans="1:16" ht="12.5">
      <c r="A160" s="658"/>
      <c r="B160" s="382"/>
      <c r="C160" s="382"/>
      <c r="D160" s="382"/>
      <c r="E160" s="433"/>
      <c r="F160" s="382"/>
      <c r="G160" s="382"/>
      <c r="H160" s="382"/>
      <c r="I160" s="382"/>
      <c r="J160" s="382"/>
      <c r="K160" s="382"/>
      <c r="L160" s="382"/>
      <c r="M160" s="382"/>
      <c r="N160" s="382"/>
      <c r="O160" s="382"/>
      <c r="P160" s="382"/>
    </row>
    <row r="161" spans="1:16" ht="12.5">
      <c r="A161" s="658"/>
      <c r="B161" s="382"/>
      <c r="C161" s="382"/>
      <c r="D161" s="382"/>
      <c r="E161" s="433"/>
      <c r="F161" s="382"/>
      <c r="G161" s="382"/>
      <c r="H161" s="382"/>
      <c r="I161" s="382"/>
      <c r="J161" s="382"/>
      <c r="K161" s="382"/>
      <c r="L161" s="382"/>
      <c r="M161" s="382"/>
      <c r="N161" s="382"/>
      <c r="O161" s="382"/>
      <c r="P161" s="382"/>
    </row>
    <row r="162" spans="1:16" ht="12.5">
      <c r="A162" s="658"/>
      <c r="B162" s="382"/>
      <c r="C162" s="382"/>
      <c r="D162" s="382"/>
      <c r="E162" s="433"/>
      <c r="F162" s="382"/>
      <c r="G162" s="382"/>
      <c r="H162" s="382"/>
      <c r="I162" s="382"/>
      <c r="J162" s="382"/>
      <c r="K162" s="382"/>
      <c r="L162" s="382"/>
      <c r="M162" s="382"/>
      <c r="N162" s="382"/>
      <c r="O162" s="382"/>
      <c r="P162" s="382"/>
    </row>
    <row r="163" spans="1:16" ht="12.5">
      <c r="A163" s="658"/>
      <c r="B163" s="382"/>
      <c r="C163" s="382"/>
      <c r="D163" s="382"/>
      <c r="E163" s="433"/>
      <c r="F163" s="382"/>
      <c r="G163" s="382"/>
      <c r="H163" s="382"/>
      <c r="I163" s="382"/>
      <c r="J163" s="382"/>
      <c r="K163" s="382"/>
      <c r="L163" s="382"/>
      <c r="M163" s="382"/>
      <c r="N163" s="382"/>
      <c r="O163" s="382"/>
      <c r="P163" s="382"/>
    </row>
    <row r="164" spans="1:16" ht="12.5">
      <c r="A164" s="658"/>
      <c r="B164" s="382"/>
      <c r="C164" s="382"/>
      <c r="D164" s="382"/>
      <c r="E164" s="433"/>
      <c r="F164" s="382"/>
      <c r="G164" s="382"/>
      <c r="H164" s="382"/>
      <c r="I164" s="382"/>
      <c r="J164" s="382"/>
      <c r="K164" s="382"/>
      <c r="L164" s="382"/>
      <c r="M164" s="382"/>
      <c r="N164" s="382"/>
      <c r="O164" s="382"/>
      <c r="P164" s="382"/>
    </row>
    <row r="165" spans="1:16" ht="12.5">
      <c r="A165" s="658"/>
      <c r="B165" s="382"/>
      <c r="C165" s="382"/>
      <c r="D165" s="382"/>
      <c r="E165" s="433"/>
      <c r="F165" s="382"/>
      <c r="G165" s="382"/>
      <c r="H165" s="382"/>
      <c r="I165" s="382"/>
      <c r="J165" s="382"/>
      <c r="K165" s="382"/>
      <c r="L165" s="382"/>
      <c r="M165" s="382"/>
      <c r="N165" s="382"/>
      <c r="O165" s="382"/>
      <c r="P165" s="382"/>
    </row>
    <row r="166" spans="1:16" ht="12.5">
      <c r="A166" s="658"/>
      <c r="B166" s="382"/>
      <c r="C166" s="382"/>
      <c r="D166" s="382"/>
      <c r="E166" s="433"/>
      <c r="F166" s="382"/>
      <c r="G166" s="382"/>
      <c r="H166" s="382"/>
      <c r="I166" s="382"/>
      <c r="J166" s="382"/>
      <c r="K166" s="382"/>
      <c r="L166" s="382"/>
      <c r="M166" s="382"/>
      <c r="N166" s="382"/>
      <c r="O166" s="382"/>
      <c r="P166" s="382"/>
    </row>
    <row r="167" spans="1:16" ht="12.5">
      <c r="A167" s="658"/>
      <c r="B167" s="382"/>
      <c r="C167" s="382"/>
      <c r="D167" s="382"/>
      <c r="E167" s="433"/>
      <c r="F167" s="382"/>
      <c r="G167" s="382"/>
      <c r="H167" s="382"/>
      <c r="I167" s="382"/>
      <c r="J167" s="382"/>
      <c r="K167" s="382"/>
      <c r="L167" s="382"/>
      <c r="M167" s="382"/>
      <c r="N167" s="382"/>
      <c r="O167" s="382"/>
      <c r="P167" s="382"/>
    </row>
    <row r="168" spans="1:16" ht="12.5">
      <c r="A168" s="658"/>
      <c r="B168" s="382"/>
      <c r="C168" s="382"/>
      <c r="D168" s="382"/>
      <c r="E168" s="433"/>
      <c r="F168" s="382"/>
      <c r="G168" s="382"/>
      <c r="H168" s="382"/>
      <c r="I168" s="382"/>
      <c r="J168" s="382"/>
      <c r="K168" s="382"/>
      <c r="L168" s="382"/>
      <c r="M168" s="382"/>
      <c r="N168" s="382"/>
      <c r="O168" s="382"/>
      <c r="P168" s="382"/>
    </row>
    <row r="169" spans="1:16" ht="12.5">
      <c r="A169" s="658"/>
      <c r="B169" s="382"/>
      <c r="C169" s="382"/>
      <c r="D169" s="382"/>
      <c r="E169" s="433"/>
      <c r="F169" s="382"/>
      <c r="G169" s="382"/>
      <c r="H169" s="382"/>
      <c r="I169" s="382"/>
      <c r="J169" s="382"/>
      <c r="K169" s="382"/>
      <c r="L169" s="382"/>
      <c r="M169" s="382"/>
      <c r="N169" s="382"/>
      <c r="O169" s="382"/>
      <c r="P169" s="382"/>
    </row>
    <row r="170" spans="1:16" ht="12.5">
      <c r="A170" s="658"/>
      <c r="B170" s="382"/>
      <c r="C170" s="382"/>
      <c r="D170" s="382"/>
      <c r="E170" s="433"/>
      <c r="F170" s="382"/>
      <c r="G170" s="382"/>
      <c r="H170" s="382"/>
      <c r="I170" s="382"/>
      <c r="J170" s="382"/>
      <c r="K170" s="382"/>
      <c r="L170" s="382"/>
      <c r="M170" s="382"/>
      <c r="N170" s="382"/>
      <c r="O170" s="382"/>
      <c r="P170" s="382"/>
    </row>
    <row r="171" spans="1:16" ht="12.5">
      <c r="A171" s="658"/>
      <c r="B171" s="382"/>
      <c r="C171" s="382"/>
      <c r="D171" s="382"/>
      <c r="E171" s="433"/>
      <c r="F171" s="382"/>
      <c r="G171" s="382"/>
      <c r="H171" s="382"/>
      <c r="I171" s="382"/>
      <c r="J171" s="382"/>
      <c r="K171" s="382"/>
      <c r="L171" s="382"/>
      <c r="M171" s="382"/>
      <c r="N171" s="382"/>
      <c r="O171" s="382"/>
      <c r="P171" s="382"/>
    </row>
    <row r="172" spans="1:16" ht="12.5">
      <c r="A172" s="658"/>
      <c r="B172" s="382"/>
      <c r="C172" s="382"/>
      <c r="D172" s="382"/>
      <c r="E172" s="433"/>
      <c r="F172" s="382"/>
      <c r="G172" s="382"/>
      <c r="H172" s="382"/>
      <c r="I172" s="382"/>
      <c r="J172" s="382"/>
      <c r="K172" s="382"/>
      <c r="L172" s="382"/>
      <c r="M172" s="382"/>
      <c r="N172" s="382"/>
      <c r="O172" s="382"/>
      <c r="P172" s="382"/>
    </row>
    <row r="173" spans="1:16" ht="12.5">
      <c r="A173" s="658"/>
      <c r="B173" s="382"/>
      <c r="C173" s="382"/>
      <c r="D173" s="382"/>
      <c r="E173" s="433"/>
      <c r="F173" s="382"/>
      <c r="G173" s="382"/>
      <c r="H173" s="382"/>
      <c r="I173" s="382"/>
      <c r="J173" s="382"/>
      <c r="K173" s="382"/>
      <c r="L173" s="382"/>
      <c r="M173" s="382"/>
      <c r="N173" s="382"/>
      <c r="O173" s="382"/>
      <c r="P173" s="382"/>
    </row>
    <row r="174" spans="1:16" ht="12.5">
      <c r="K174" s="382"/>
      <c r="L174" s="382"/>
      <c r="M174" s="382"/>
      <c r="N174" s="382"/>
      <c r="O174" s="382"/>
    </row>
    <row r="175" spans="1:16" ht="12.5">
      <c r="K175" s="382"/>
      <c r="L175" s="382"/>
      <c r="M175" s="382"/>
      <c r="N175" s="382"/>
      <c r="O175" s="382"/>
    </row>
    <row r="176" spans="1:16" ht="12.5">
      <c r="K176" s="382"/>
      <c r="L176" s="382"/>
      <c r="M176" s="382"/>
      <c r="N176" s="382"/>
      <c r="O176" s="382"/>
    </row>
    <row r="177" spans="11:15" ht="12.5">
      <c r="K177" s="382"/>
      <c r="L177" s="382"/>
      <c r="M177" s="382"/>
      <c r="N177" s="382"/>
      <c r="O177" s="382"/>
    </row>
    <row r="178" spans="11:15" ht="12.5">
      <c r="K178" s="382"/>
      <c r="L178" s="382"/>
      <c r="M178" s="382"/>
      <c r="N178" s="382"/>
      <c r="O178" s="382"/>
    </row>
    <row r="179" spans="11:15" ht="12.5">
      <c r="K179" s="382"/>
      <c r="L179" s="382"/>
      <c r="M179" s="382"/>
      <c r="N179" s="382"/>
      <c r="O179" s="382"/>
    </row>
    <row r="180" spans="11:15" ht="12.5">
      <c r="K180" s="382"/>
      <c r="L180" s="382"/>
      <c r="M180" s="382"/>
      <c r="N180" s="382"/>
      <c r="O180" s="382"/>
    </row>
    <row r="181" spans="11:15" ht="12.5">
      <c r="K181" s="382"/>
      <c r="L181" s="382"/>
      <c r="M181" s="382"/>
      <c r="N181" s="382"/>
      <c r="O181" s="382"/>
    </row>
    <row r="182" spans="11:15" ht="12.5">
      <c r="K182" s="382"/>
      <c r="L182" s="382"/>
      <c r="M182" s="382"/>
      <c r="N182" s="382"/>
      <c r="O182" s="382"/>
    </row>
    <row r="183" spans="11:15" ht="12.5">
      <c r="K183" s="382"/>
      <c r="L183" s="382"/>
      <c r="M183" s="382"/>
      <c r="N183" s="382"/>
      <c r="O183" s="382"/>
    </row>
    <row r="184" spans="11:15" ht="12.5">
      <c r="K184" s="382"/>
      <c r="L184" s="382"/>
      <c r="M184" s="382"/>
      <c r="N184" s="382"/>
      <c r="O184" s="382"/>
    </row>
    <row r="185" spans="11:15" ht="12.5">
      <c r="K185" s="382"/>
      <c r="L185" s="382"/>
      <c r="M185" s="382"/>
      <c r="N185" s="382"/>
      <c r="O185" s="382"/>
    </row>
    <row r="186" spans="11:15" ht="12.5">
      <c r="K186" s="382"/>
      <c r="L186" s="382"/>
      <c r="M186" s="382"/>
      <c r="N186" s="382"/>
      <c r="O186" s="382"/>
    </row>
    <row r="187" spans="11:15" ht="12.5">
      <c r="K187" s="382"/>
      <c r="L187" s="382"/>
      <c r="M187" s="382"/>
      <c r="N187" s="382"/>
      <c r="O187" s="382"/>
    </row>
    <row r="188" spans="11:15" ht="12.5">
      <c r="K188" s="382"/>
      <c r="L188" s="382"/>
      <c r="M188" s="382"/>
      <c r="N188" s="382"/>
      <c r="O188" s="382"/>
    </row>
    <row r="189" spans="11:15" ht="12.5">
      <c r="K189" s="382"/>
      <c r="L189" s="382"/>
      <c r="M189" s="382"/>
      <c r="N189" s="382"/>
      <c r="O189" s="382"/>
    </row>
    <row r="190" spans="11:15" ht="12.5">
      <c r="K190" s="382"/>
      <c r="L190" s="382"/>
      <c r="M190" s="382"/>
      <c r="N190" s="382"/>
      <c r="O190" s="382"/>
    </row>
    <row r="191" spans="11:15" ht="12.5">
      <c r="K191" s="382"/>
      <c r="L191" s="382"/>
      <c r="M191" s="382"/>
      <c r="N191" s="382"/>
      <c r="O191" s="382"/>
    </row>
    <row r="192" spans="11:15" ht="12.5">
      <c r="K192" s="382"/>
      <c r="L192" s="382"/>
      <c r="M192" s="382"/>
      <c r="N192" s="382"/>
      <c r="O192" s="382"/>
    </row>
    <row r="193" spans="11:15" ht="12.5">
      <c r="K193" s="382"/>
      <c r="L193" s="382"/>
      <c r="M193" s="382"/>
      <c r="N193" s="382"/>
      <c r="O193" s="382"/>
    </row>
    <row r="194" spans="11:15" ht="12.5">
      <c r="K194" s="382"/>
      <c r="L194" s="382"/>
      <c r="M194" s="382"/>
      <c r="N194" s="382"/>
      <c r="O194" s="382"/>
    </row>
    <row r="195" spans="11:15" ht="12.5">
      <c r="K195" s="382"/>
      <c r="L195" s="382"/>
      <c r="M195" s="382"/>
      <c r="N195" s="382"/>
      <c r="O195" s="382"/>
    </row>
    <row r="196" spans="11:15" ht="12.5">
      <c r="K196" s="382"/>
      <c r="L196" s="382"/>
      <c r="M196" s="382"/>
      <c r="N196" s="382"/>
      <c r="O196" s="382"/>
    </row>
    <row r="197" spans="11:15" ht="12.5">
      <c r="K197" s="382"/>
      <c r="L197" s="382"/>
      <c r="M197" s="382"/>
      <c r="N197" s="382"/>
      <c r="O197" s="382"/>
    </row>
    <row r="198" spans="11:15" ht="12.5">
      <c r="K198" s="382"/>
      <c r="L198" s="382"/>
      <c r="M198" s="382"/>
      <c r="N198" s="382"/>
      <c r="O198" s="382"/>
    </row>
    <row r="199" spans="11:15" ht="12.5">
      <c r="K199" s="382"/>
      <c r="L199" s="382"/>
      <c r="M199" s="382"/>
      <c r="N199" s="382"/>
      <c r="O199" s="382"/>
    </row>
    <row r="200" spans="11:15" ht="12.5">
      <c r="K200" s="382"/>
      <c r="L200" s="382"/>
      <c r="M200" s="382"/>
      <c r="N200" s="382"/>
      <c r="O200" s="382"/>
    </row>
    <row r="201" spans="11:15" ht="12.5">
      <c r="K201" s="382"/>
      <c r="L201" s="382"/>
      <c r="M201" s="382"/>
      <c r="N201" s="382"/>
      <c r="O201" s="382"/>
    </row>
    <row r="202" spans="11:15" ht="12.5">
      <c r="K202" s="382"/>
      <c r="L202" s="382"/>
      <c r="M202" s="382"/>
      <c r="N202" s="382"/>
      <c r="O202" s="382"/>
    </row>
    <row r="203" spans="11:15" ht="12.5">
      <c r="K203" s="382"/>
      <c r="L203" s="382"/>
      <c r="M203" s="382"/>
      <c r="N203" s="382"/>
      <c r="O203" s="382"/>
    </row>
    <row r="204" spans="11:15" ht="12.5">
      <c r="K204" s="382"/>
      <c r="L204" s="382"/>
      <c r="M204" s="382"/>
      <c r="N204" s="382"/>
      <c r="O204" s="382"/>
    </row>
    <row r="205" spans="11:15" ht="12.5">
      <c r="K205" s="382"/>
      <c r="L205" s="382"/>
      <c r="M205" s="382"/>
      <c r="N205" s="382"/>
      <c r="O205" s="382"/>
    </row>
    <row r="206" spans="11:15" ht="12.5">
      <c r="K206" s="382"/>
      <c r="L206" s="382"/>
      <c r="M206" s="382"/>
      <c r="N206" s="382"/>
      <c r="O206" s="382"/>
    </row>
    <row r="207" spans="11:15" ht="12.5">
      <c r="K207" s="382"/>
      <c r="L207" s="382"/>
      <c r="M207" s="382"/>
      <c r="N207" s="382"/>
      <c r="O207" s="382"/>
    </row>
    <row r="208" spans="11:15" ht="12.5">
      <c r="K208" s="382"/>
      <c r="L208" s="382"/>
      <c r="M208" s="382"/>
      <c r="N208" s="382"/>
      <c r="O208" s="382"/>
    </row>
    <row r="209" spans="11:15" ht="12.5">
      <c r="K209" s="382"/>
      <c r="L209" s="382"/>
      <c r="M209" s="382"/>
      <c r="N209" s="382"/>
      <c r="O209" s="382"/>
    </row>
    <row r="210" spans="11:15" ht="12.5">
      <c r="K210" s="382"/>
      <c r="L210" s="382"/>
      <c r="M210" s="382"/>
      <c r="N210" s="382"/>
      <c r="O210" s="382"/>
    </row>
    <row r="211" spans="11:15" ht="12.5">
      <c r="K211" s="382"/>
      <c r="L211" s="382"/>
      <c r="M211" s="382"/>
      <c r="N211" s="382"/>
      <c r="O211" s="382"/>
    </row>
    <row r="212" spans="11:15" ht="12.5">
      <c r="K212" s="382"/>
      <c r="L212" s="382"/>
      <c r="M212" s="382"/>
      <c r="N212" s="382"/>
      <c r="O212" s="382"/>
    </row>
    <row r="213" spans="11:15" ht="12.5">
      <c r="K213" s="382"/>
      <c r="L213" s="382"/>
      <c r="M213" s="382"/>
      <c r="N213" s="382"/>
      <c r="O213" s="382"/>
    </row>
    <row r="214" spans="11:15" ht="12.5">
      <c r="K214" s="382"/>
      <c r="L214" s="382"/>
      <c r="M214" s="382"/>
      <c r="N214" s="382"/>
      <c r="O214" s="382"/>
    </row>
    <row r="215" spans="11:15" ht="12.5">
      <c r="K215" s="382"/>
      <c r="L215" s="382"/>
      <c r="M215" s="382"/>
      <c r="N215" s="382"/>
      <c r="O215" s="382"/>
    </row>
    <row r="216" spans="11:15" ht="12.5">
      <c r="K216" s="382"/>
      <c r="L216" s="382"/>
      <c r="M216" s="382"/>
      <c r="N216" s="382"/>
      <c r="O216" s="382"/>
    </row>
    <row r="217" spans="11:15" ht="12.5">
      <c r="K217" s="382"/>
      <c r="L217" s="382"/>
      <c r="M217" s="382"/>
      <c r="N217" s="382"/>
      <c r="O217" s="382"/>
    </row>
    <row r="218" spans="11:15" ht="12.5">
      <c r="K218" s="382"/>
      <c r="L218" s="382"/>
      <c r="M218" s="382"/>
      <c r="N218" s="382"/>
      <c r="O218" s="382"/>
    </row>
    <row r="219" spans="11:15" ht="12.5">
      <c r="K219" s="382"/>
      <c r="L219" s="382"/>
      <c r="M219" s="382"/>
      <c r="N219" s="382"/>
      <c r="O219" s="382"/>
    </row>
    <row r="220" spans="11:15" ht="12.5">
      <c r="K220" s="382"/>
      <c r="L220" s="382"/>
      <c r="M220" s="382"/>
      <c r="N220" s="382"/>
      <c r="O220" s="382"/>
    </row>
    <row r="221" spans="11:15" ht="12.5">
      <c r="K221" s="382"/>
      <c r="L221" s="382"/>
      <c r="M221" s="382"/>
      <c r="N221" s="382"/>
      <c r="O221" s="382"/>
    </row>
    <row r="222" spans="11:15" ht="12.5">
      <c r="K222" s="382"/>
      <c r="L222" s="382"/>
      <c r="M222" s="382"/>
      <c r="N222" s="382"/>
      <c r="O222" s="382"/>
    </row>
    <row r="223" spans="11:15" ht="12.5">
      <c r="K223" s="382"/>
      <c r="L223" s="382"/>
      <c r="M223" s="382"/>
      <c r="N223" s="382"/>
      <c r="O223" s="382"/>
    </row>
    <row r="224" spans="11:15" ht="12.5">
      <c r="K224" s="382"/>
      <c r="L224" s="382"/>
      <c r="M224" s="382"/>
      <c r="N224" s="382"/>
      <c r="O224" s="382"/>
    </row>
    <row r="225" spans="11:15" ht="12.5">
      <c r="K225" s="382"/>
      <c r="L225" s="382"/>
      <c r="M225" s="382"/>
      <c r="N225" s="382"/>
      <c r="O225" s="382"/>
    </row>
    <row r="226" spans="11:15" ht="12.5">
      <c r="K226" s="382"/>
      <c r="L226" s="382"/>
      <c r="M226" s="382"/>
      <c r="N226" s="382"/>
      <c r="O226" s="382"/>
    </row>
    <row r="227" spans="11:15" ht="12.5">
      <c r="K227" s="382"/>
      <c r="L227" s="382"/>
      <c r="M227" s="382"/>
      <c r="N227" s="382"/>
      <c r="O227" s="382"/>
    </row>
    <row r="228" spans="11:15" ht="12.5">
      <c r="K228" s="382"/>
      <c r="L228" s="382"/>
      <c r="M228" s="382"/>
      <c r="N228" s="382"/>
      <c r="O228" s="382"/>
    </row>
    <row r="229" spans="11:15" ht="12.5">
      <c r="K229" s="382"/>
      <c r="L229" s="382"/>
      <c r="M229" s="382"/>
      <c r="N229" s="382"/>
      <c r="O229" s="382"/>
    </row>
    <row r="230" spans="11:15" ht="12.5">
      <c r="K230" s="382"/>
      <c r="L230" s="382"/>
      <c r="M230" s="382"/>
      <c r="N230" s="382"/>
      <c r="O230" s="382"/>
    </row>
    <row r="231" spans="11:15" ht="12.5">
      <c r="K231" s="382"/>
      <c r="L231" s="382"/>
      <c r="M231" s="382"/>
      <c r="N231" s="382"/>
      <c r="O231" s="382"/>
    </row>
    <row r="232" spans="11:15" ht="12.5">
      <c r="K232" s="382"/>
      <c r="L232" s="382"/>
      <c r="M232" s="382"/>
      <c r="N232" s="382"/>
      <c r="O232" s="382"/>
    </row>
    <row r="233" spans="11:15" ht="12.5">
      <c r="K233" s="382"/>
      <c r="L233" s="382"/>
      <c r="M233" s="382"/>
      <c r="N233" s="382"/>
      <c r="O233" s="382"/>
    </row>
    <row r="234" spans="11:15" ht="12.5">
      <c r="K234" s="382"/>
      <c r="L234" s="382"/>
      <c r="M234" s="382"/>
      <c r="N234" s="382"/>
      <c r="O234" s="382"/>
    </row>
    <row r="235" spans="11:15" ht="12.5">
      <c r="K235" s="382"/>
      <c r="L235" s="382"/>
      <c r="M235" s="382"/>
      <c r="N235" s="382"/>
      <c r="O235" s="382"/>
    </row>
    <row r="236" spans="11:15" ht="12.5">
      <c r="K236" s="382"/>
      <c r="L236" s="382"/>
      <c r="M236" s="382"/>
      <c r="N236" s="382"/>
      <c r="O236" s="382"/>
    </row>
    <row r="237" spans="11:15" ht="12.5">
      <c r="K237" s="382"/>
      <c r="L237" s="382"/>
      <c r="M237" s="382"/>
      <c r="N237" s="382"/>
      <c r="O237" s="382"/>
    </row>
    <row r="238" spans="11:15" ht="12.5">
      <c r="K238" s="382"/>
      <c r="L238" s="382"/>
      <c r="M238" s="382"/>
      <c r="N238" s="382"/>
      <c r="O238" s="382"/>
    </row>
    <row r="239" spans="11:15" ht="12.5">
      <c r="K239" s="382"/>
      <c r="L239" s="382"/>
      <c r="M239" s="382"/>
      <c r="N239" s="382"/>
      <c r="O239" s="382"/>
    </row>
    <row r="240" spans="11:15" ht="12.5">
      <c r="K240" s="382"/>
      <c r="L240" s="382"/>
      <c r="M240" s="382"/>
      <c r="N240" s="382"/>
      <c r="O240" s="382"/>
    </row>
    <row r="241" spans="11:15" ht="12.5">
      <c r="K241" s="382"/>
      <c r="L241" s="382"/>
      <c r="M241" s="382"/>
      <c r="N241" s="382"/>
      <c r="O241" s="382"/>
    </row>
    <row r="242" spans="11:15" ht="12.5">
      <c r="K242" s="382"/>
      <c r="L242" s="382"/>
      <c r="M242" s="382"/>
      <c r="N242" s="382"/>
      <c r="O242" s="382"/>
    </row>
    <row r="243" spans="11:15" ht="12.5">
      <c r="K243" s="382"/>
      <c r="L243" s="382"/>
      <c r="M243" s="382"/>
      <c r="N243" s="382"/>
      <c r="O243" s="382"/>
    </row>
    <row r="244" spans="11:15" ht="12.5">
      <c r="K244" s="382"/>
      <c r="L244" s="382"/>
      <c r="M244" s="382"/>
      <c r="N244" s="382"/>
      <c r="O244" s="382"/>
    </row>
    <row r="245" spans="11:15" ht="12.5">
      <c r="K245" s="382"/>
      <c r="L245" s="382"/>
      <c r="M245" s="382"/>
      <c r="N245" s="382"/>
      <c r="O245" s="382"/>
    </row>
    <row r="246" spans="11:15" ht="12.5">
      <c r="K246" s="382"/>
      <c r="L246" s="382"/>
      <c r="M246" s="382"/>
      <c r="N246" s="382"/>
      <c r="O246" s="382"/>
    </row>
    <row r="247" spans="11:15" ht="12.5">
      <c r="K247" s="382"/>
      <c r="L247" s="382"/>
      <c r="M247" s="382"/>
      <c r="N247" s="382"/>
      <c r="O247" s="382"/>
    </row>
    <row r="248" spans="11:15" ht="12.5">
      <c r="K248" s="382"/>
      <c r="L248" s="382"/>
      <c r="M248" s="382"/>
      <c r="N248" s="382"/>
      <c r="O248" s="382"/>
    </row>
    <row r="249" spans="11:15" ht="12.5">
      <c r="K249" s="382"/>
      <c r="L249" s="382"/>
      <c r="M249" s="382"/>
      <c r="N249" s="382"/>
      <c r="O249" s="382"/>
    </row>
    <row r="250" spans="11:15" ht="12.5">
      <c r="K250" s="382"/>
      <c r="L250" s="382"/>
      <c r="M250" s="382"/>
      <c r="N250" s="382"/>
      <c r="O250" s="382"/>
    </row>
    <row r="251" spans="11:15" ht="12.5">
      <c r="K251" s="382"/>
      <c r="L251" s="382"/>
      <c r="M251" s="382"/>
      <c r="N251" s="382"/>
      <c r="O251" s="382"/>
    </row>
    <row r="252" spans="11:15" ht="12.5">
      <c r="K252" s="382"/>
      <c r="L252" s="382"/>
      <c r="M252" s="382"/>
      <c r="N252" s="382"/>
      <c r="O252" s="382"/>
    </row>
    <row r="253" spans="11:15" ht="12.5">
      <c r="K253" s="382"/>
      <c r="L253" s="382"/>
      <c r="M253" s="382"/>
      <c r="N253" s="382"/>
      <c r="O253" s="382"/>
    </row>
    <row r="254" spans="11:15" ht="12.5">
      <c r="K254" s="382"/>
      <c r="L254" s="382"/>
      <c r="M254" s="382"/>
      <c r="N254" s="382"/>
      <c r="O254" s="382"/>
    </row>
    <row r="255" spans="11:15" ht="12.5">
      <c r="K255" s="382"/>
      <c r="L255" s="382"/>
      <c r="M255" s="382"/>
      <c r="N255" s="382"/>
      <c r="O255" s="382"/>
    </row>
    <row r="256" spans="11:15" ht="12.5">
      <c r="K256" s="382"/>
      <c r="L256" s="382"/>
      <c r="M256" s="382"/>
      <c r="N256" s="382"/>
      <c r="O256" s="382"/>
    </row>
    <row r="257" spans="11:15" ht="12.5">
      <c r="K257" s="382"/>
      <c r="L257" s="382"/>
      <c r="M257" s="382"/>
      <c r="N257" s="382"/>
      <c r="O257" s="382"/>
    </row>
    <row r="258" spans="11:15" ht="12.5">
      <c r="K258" s="382"/>
      <c r="L258" s="382"/>
      <c r="M258" s="382"/>
      <c r="N258" s="382"/>
      <c r="O258" s="382"/>
    </row>
    <row r="259" spans="11:15" ht="12.5">
      <c r="K259" s="382"/>
      <c r="L259" s="382"/>
      <c r="M259" s="382"/>
      <c r="N259" s="382"/>
      <c r="O259" s="382"/>
    </row>
    <row r="260" spans="11:15" ht="12.5">
      <c r="K260" s="382"/>
      <c r="L260" s="382"/>
      <c r="M260" s="382"/>
      <c r="N260" s="382"/>
      <c r="O260" s="382"/>
    </row>
    <row r="261" spans="11:15" ht="12.5">
      <c r="K261" s="382"/>
      <c r="L261" s="382"/>
      <c r="M261" s="382"/>
      <c r="N261" s="382"/>
      <c r="O261" s="382"/>
    </row>
    <row r="262" spans="11:15" ht="12.5">
      <c r="K262" s="382"/>
      <c r="L262" s="382"/>
      <c r="M262" s="382"/>
      <c r="N262" s="382"/>
      <c r="O262" s="382"/>
    </row>
    <row r="263" spans="11:15" ht="12.5">
      <c r="K263" s="382"/>
      <c r="L263" s="382"/>
      <c r="M263" s="382"/>
      <c r="N263" s="382"/>
      <c r="O263" s="382"/>
    </row>
    <row r="264" spans="11:15" ht="12.5">
      <c r="K264" s="382"/>
      <c r="L264" s="382"/>
      <c r="M264" s="382"/>
      <c r="N264" s="382"/>
      <c r="O264" s="382"/>
    </row>
    <row r="265" spans="11:15" ht="12.5">
      <c r="K265" s="382"/>
      <c r="L265" s="382"/>
      <c r="M265" s="382"/>
      <c r="N265" s="382"/>
      <c r="O265" s="382"/>
    </row>
    <row r="266" spans="11:15" ht="12.5">
      <c r="K266" s="382"/>
      <c r="L266" s="382"/>
      <c r="M266" s="382"/>
      <c r="N266" s="382"/>
      <c r="O266" s="382"/>
    </row>
    <row r="267" spans="11:15" ht="12.5">
      <c r="K267" s="382"/>
      <c r="L267" s="382"/>
      <c r="M267" s="382"/>
      <c r="N267" s="382"/>
      <c r="O267" s="382"/>
    </row>
    <row r="268" spans="11:15" ht="12.5">
      <c r="K268" s="382"/>
      <c r="L268" s="382"/>
      <c r="M268" s="382"/>
      <c r="N268" s="382"/>
      <c r="O268" s="382"/>
    </row>
    <row r="269" spans="11:15" ht="12.5">
      <c r="K269" s="382"/>
      <c r="L269" s="382"/>
      <c r="M269" s="382"/>
      <c r="N269" s="382"/>
      <c r="O269" s="382"/>
    </row>
    <row r="270" spans="11:15" ht="12.5">
      <c r="K270" s="382"/>
      <c r="L270" s="382"/>
      <c r="M270" s="382"/>
      <c r="N270" s="382"/>
      <c r="O270" s="382"/>
    </row>
    <row r="271" spans="11:15" ht="12.5">
      <c r="K271" s="382"/>
      <c r="L271" s="382"/>
      <c r="M271" s="382"/>
      <c r="N271" s="382"/>
      <c r="O271" s="382"/>
    </row>
    <row r="272" spans="11:15" ht="12.5">
      <c r="K272" s="382"/>
      <c r="L272" s="382"/>
      <c r="M272" s="382"/>
      <c r="N272" s="382"/>
      <c r="O272" s="382"/>
    </row>
    <row r="273" spans="11:15" ht="12.5">
      <c r="K273" s="382"/>
      <c r="L273" s="382"/>
      <c r="M273" s="382"/>
      <c r="N273" s="382"/>
      <c r="O273" s="382"/>
    </row>
    <row r="274" spans="11:15" ht="12.5">
      <c r="K274" s="382"/>
      <c r="L274" s="382"/>
      <c r="M274" s="382"/>
      <c r="N274" s="382"/>
      <c r="O274" s="382"/>
    </row>
    <row r="275" spans="11:15" ht="12.5">
      <c r="K275" s="382"/>
      <c r="L275" s="382"/>
      <c r="M275" s="382"/>
      <c r="N275" s="382"/>
      <c r="O275" s="382"/>
    </row>
    <row r="276" spans="11:15" ht="12.5">
      <c r="K276" s="382"/>
      <c r="L276" s="382"/>
      <c r="M276" s="382"/>
      <c r="N276" s="382"/>
      <c r="O276" s="382"/>
    </row>
    <row r="277" spans="11:15" ht="12.5">
      <c r="K277" s="382"/>
      <c r="L277" s="382"/>
      <c r="M277" s="382"/>
      <c r="N277" s="382"/>
      <c r="O277" s="382"/>
    </row>
    <row r="278" spans="11:15" ht="12.5">
      <c r="K278" s="382"/>
      <c r="L278" s="382"/>
      <c r="M278" s="382"/>
      <c r="N278" s="382"/>
      <c r="O278" s="382"/>
    </row>
    <row r="279" spans="11:15" ht="12.5">
      <c r="K279" s="382"/>
      <c r="L279" s="382"/>
      <c r="M279" s="382"/>
      <c r="N279" s="382"/>
      <c r="O279" s="382"/>
    </row>
    <row r="280" spans="11:15" ht="12.5">
      <c r="K280" s="382"/>
      <c r="L280" s="382"/>
      <c r="M280" s="382"/>
      <c r="N280" s="382"/>
      <c r="O280" s="382"/>
    </row>
    <row r="281" spans="11:15" ht="12.5">
      <c r="K281" s="382"/>
      <c r="L281" s="382"/>
      <c r="M281" s="382"/>
      <c r="N281" s="382"/>
      <c r="O281" s="382"/>
    </row>
    <row r="282" spans="11:15" ht="12.5">
      <c r="K282" s="382"/>
      <c r="L282" s="382"/>
      <c r="M282" s="382"/>
      <c r="N282" s="382"/>
      <c r="O282" s="382"/>
    </row>
    <row r="283" spans="11:15" ht="12.5">
      <c r="K283" s="382"/>
      <c r="L283" s="382"/>
      <c r="M283" s="382"/>
      <c r="N283" s="382"/>
      <c r="O283" s="382"/>
    </row>
    <row r="284" spans="11:15" ht="12.5">
      <c r="K284" s="382"/>
      <c r="L284" s="382"/>
      <c r="M284" s="382"/>
      <c r="N284" s="382"/>
      <c r="O284" s="382"/>
    </row>
    <row r="285" spans="11:15" ht="12.5">
      <c r="K285" s="382"/>
      <c r="L285" s="382"/>
      <c r="M285" s="382"/>
      <c r="N285" s="382"/>
      <c r="O285" s="382"/>
    </row>
    <row r="286" spans="11:15" ht="12.5">
      <c r="K286" s="382"/>
      <c r="L286" s="382"/>
      <c r="M286" s="382"/>
      <c r="N286" s="382"/>
      <c r="O286" s="382"/>
    </row>
    <row r="287" spans="11:15" ht="12.5">
      <c r="K287" s="382"/>
      <c r="L287" s="382"/>
      <c r="M287" s="382"/>
      <c r="N287" s="382"/>
      <c r="O287" s="382"/>
    </row>
    <row r="288" spans="11:15" ht="12.5">
      <c r="K288" s="382"/>
      <c r="L288" s="382"/>
      <c r="M288" s="382"/>
      <c r="N288" s="382"/>
      <c r="O288" s="382"/>
    </row>
    <row r="289" spans="11:15" ht="12.5">
      <c r="K289" s="382"/>
      <c r="L289" s="382"/>
      <c r="M289" s="382"/>
      <c r="N289" s="382"/>
      <c r="O289" s="382"/>
    </row>
    <row r="290" spans="11:15" ht="12.5">
      <c r="K290" s="382"/>
      <c r="L290" s="382"/>
      <c r="M290" s="382"/>
      <c r="N290" s="382"/>
      <c r="O290" s="382"/>
    </row>
    <row r="291" spans="11:15" ht="12.5">
      <c r="K291" s="382"/>
      <c r="L291" s="382"/>
      <c r="M291" s="382"/>
      <c r="N291" s="382"/>
      <c r="O291" s="382"/>
    </row>
    <row r="292" spans="11:15" ht="12.5">
      <c r="K292" s="382"/>
      <c r="L292" s="382"/>
      <c r="M292" s="382"/>
      <c r="N292" s="382"/>
      <c r="O292" s="382"/>
    </row>
    <row r="293" spans="11:15" ht="12.5">
      <c r="K293" s="382"/>
      <c r="L293" s="382"/>
      <c r="M293" s="382"/>
      <c r="N293" s="382"/>
      <c r="O293" s="382"/>
    </row>
    <row r="294" spans="11:15" ht="12.5">
      <c r="K294" s="382"/>
      <c r="L294" s="382"/>
      <c r="M294" s="382"/>
      <c r="N294" s="382"/>
      <c r="O294" s="382"/>
    </row>
    <row r="295" spans="11:15" ht="12.5">
      <c r="K295" s="382"/>
      <c r="L295" s="382"/>
      <c r="M295" s="382"/>
      <c r="N295" s="382"/>
      <c r="O295" s="382"/>
    </row>
    <row r="296" spans="11:15" ht="12.5">
      <c r="K296" s="382"/>
      <c r="L296" s="382"/>
      <c r="M296" s="382"/>
      <c r="N296" s="382"/>
      <c r="O296" s="382"/>
    </row>
    <row r="297" spans="11:15" ht="12.5">
      <c r="K297" s="382"/>
      <c r="L297" s="382"/>
      <c r="M297" s="382"/>
      <c r="N297" s="382"/>
      <c r="O297" s="382"/>
    </row>
    <row r="298" spans="11:15" ht="12.5">
      <c r="K298" s="382"/>
      <c r="L298" s="382"/>
      <c r="M298" s="382"/>
      <c r="N298" s="382"/>
      <c r="O298" s="382"/>
    </row>
    <row r="299" spans="11:15" ht="12.5">
      <c r="K299" s="382"/>
      <c r="L299" s="382"/>
      <c r="M299" s="382"/>
      <c r="N299" s="382"/>
      <c r="O299" s="382"/>
    </row>
    <row r="300" spans="11:15" ht="12.5">
      <c r="K300" s="382"/>
      <c r="L300" s="382"/>
      <c r="M300" s="382"/>
      <c r="N300" s="382"/>
      <c r="O300" s="382"/>
    </row>
    <row r="301" spans="11:15" ht="12.5">
      <c r="K301" s="382"/>
      <c r="L301" s="382"/>
      <c r="M301" s="382"/>
      <c r="N301" s="382"/>
      <c r="O301" s="382"/>
    </row>
    <row r="302" spans="11:15" ht="12.5">
      <c r="K302" s="382"/>
      <c r="L302" s="382"/>
      <c r="M302" s="382"/>
      <c r="N302" s="382"/>
      <c r="O302" s="382"/>
    </row>
    <row r="303" spans="11:15" ht="12.5">
      <c r="K303" s="382"/>
      <c r="L303" s="382"/>
      <c r="M303" s="382"/>
      <c r="N303" s="382"/>
      <c r="O303" s="382"/>
    </row>
    <row r="304" spans="11:15" ht="12.5">
      <c r="K304" s="382"/>
      <c r="L304" s="382"/>
      <c r="M304" s="382"/>
      <c r="N304" s="382"/>
      <c r="O304" s="382"/>
    </row>
    <row r="305" spans="11:15" ht="12.5">
      <c r="K305" s="382"/>
      <c r="L305" s="382"/>
      <c r="M305" s="382"/>
      <c r="N305" s="382"/>
      <c r="O305" s="382"/>
    </row>
    <row r="306" spans="11:15" ht="12.5">
      <c r="K306" s="382"/>
      <c r="L306" s="382"/>
      <c r="M306" s="382"/>
      <c r="N306" s="382"/>
      <c r="O306" s="382"/>
    </row>
    <row r="307" spans="11:15" ht="12.5">
      <c r="K307" s="382"/>
      <c r="L307" s="382"/>
      <c r="M307" s="382"/>
      <c r="N307" s="382"/>
      <c r="O307" s="382"/>
    </row>
    <row r="308" spans="11:15" ht="12.5">
      <c r="K308" s="382"/>
      <c r="L308" s="382"/>
      <c r="M308" s="382"/>
      <c r="N308" s="382"/>
      <c r="O308" s="382"/>
    </row>
    <row r="309" spans="11:15" ht="12.5">
      <c r="K309" s="382"/>
      <c r="L309" s="382"/>
      <c r="M309" s="382"/>
      <c r="N309" s="382"/>
      <c r="O309" s="382"/>
    </row>
    <row r="310" spans="11:15" ht="12.5">
      <c r="K310" s="382"/>
      <c r="L310" s="382"/>
      <c r="M310" s="382"/>
      <c r="N310" s="382"/>
      <c r="O310" s="382"/>
    </row>
    <row r="311" spans="11:15" ht="12.5">
      <c r="K311" s="382"/>
      <c r="L311" s="382"/>
      <c r="M311" s="382"/>
      <c r="N311" s="382"/>
      <c r="O311" s="382"/>
    </row>
    <row r="312" spans="11:15" ht="12.5">
      <c r="K312" s="382"/>
      <c r="L312" s="382"/>
      <c r="M312" s="382"/>
      <c r="N312" s="382"/>
      <c r="O312" s="382"/>
    </row>
    <row r="313" spans="11:15" ht="12.5">
      <c r="K313" s="382"/>
      <c r="L313" s="382"/>
      <c r="M313" s="382"/>
      <c r="N313" s="382"/>
      <c r="O313" s="382"/>
    </row>
    <row r="314" spans="11:15" ht="12.5">
      <c r="K314" s="382"/>
      <c r="L314" s="382"/>
      <c r="M314" s="382"/>
      <c r="N314" s="382"/>
      <c r="O314" s="382"/>
    </row>
    <row r="315" spans="11:15" ht="12.5">
      <c r="K315" s="382"/>
      <c r="L315" s="382"/>
      <c r="M315" s="382"/>
      <c r="N315" s="382"/>
      <c r="O315" s="382"/>
    </row>
    <row r="316" spans="11:15" ht="12.5">
      <c r="K316" s="382"/>
      <c r="L316" s="382"/>
      <c r="M316" s="382"/>
      <c r="N316" s="382"/>
      <c r="O316" s="382"/>
    </row>
    <row r="317" spans="11:15" ht="12.5">
      <c r="K317" s="382"/>
      <c r="L317" s="382"/>
      <c r="M317" s="382"/>
      <c r="N317" s="382"/>
      <c r="O317" s="382"/>
    </row>
    <row r="318" spans="11:15" ht="12.5">
      <c r="K318" s="382"/>
      <c r="L318" s="382"/>
      <c r="M318" s="382"/>
      <c r="N318" s="382"/>
      <c r="O318" s="382"/>
    </row>
    <row r="319" spans="11:15" ht="12.5">
      <c r="K319" s="382"/>
      <c r="L319" s="382"/>
      <c r="M319" s="382"/>
      <c r="N319" s="382"/>
      <c r="O319" s="382"/>
    </row>
    <row r="320" spans="11:15" ht="12.5">
      <c r="K320" s="382"/>
      <c r="L320" s="382"/>
      <c r="M320" s="382"/>
      <c r="N320" s="382"/>
      <c r="O320" s="382"/>
    </row>
    <row r="321" spans="11:15" ht="12.5">
      <c r="K321" s="382"/>
      <c r="L321" s="382"/>
      <c r="M321" s="382"/>
      <c r="N321" s="382"/>
      <c r="O321" s="382"/>
    </row>
    <row r="322" spans="11:15" ht="12.5">
      <c r="K322" s="382"/>
      <c r="L322" s="382"/>
      <c r="M322" s="382"/>
      <c r="N322" s="382"/>
      <c r="O322" s="382"/>
    </row>
    <row r="323" spans="11:15" ht="12.5">
      <c r="K323" s="382"/>
      <c r="L323" s="382"/>
      <c r="M323" s="382"/>
      <c r="N323" s="382"/>
      <c r="O323" s="382"/>
    </row>
    <row r="324" spans="11:15" ht="12.5">
      <c r="K324" s="382"/>
      <c r="L324" s="382"/>
      <c r="M324" s="382"/>
      <c r="N324" s="382"/>
      <c r="O324" s="382"/>
    </row>
    <row r="325" spans="11:15" ht="12.5">
      <c r="K325" s="382"/>
      <c r="L325" s="382"/>
      <c r="M325" s="382"/>
      <c r="N325" s="382"/>
      <c r="O325" s="382"/>
    </row>
    <row r="326" spans="11:15" ht="12.5">
      <c r="K326" s="382"/>
      <c r="L326" s="382"/>
      <c r="M326" s="382"/>
      <c r="N326" s="382"/>
      <c r="O326" s="382"/>
    </row>
    <row r="327" spans="11:15" ht="12.5">
      <c r="K327" s="382"/>
      <c r="L327" s="382"/>
      <c r="M327" s="382"/>
      <c r="N327" s="382"/>
      <c r="O327" s="382"/>
    </row>
    <row r="328" spans="11:15" ht="12.5">
      <c r="K328" s="382"/>
      <c r="L328" s="382"/>
      <c r="M328" s="382"/>
      <c r="N328" s="382"/>
      <c r="O328" s="382"/>
    </row>
    <row r="329" spans="11:15" ht="12.5">
      <c r="K329" s="382"/>
      <c r="L329" s="382"/>
      <c r="M329" s="382"/>
      <c r="N329" s="382"/>
      <c r="O329" s="382"/>
    </row>
    <row r="330" spans="11:15" ht="12.5">
      <c r="K330" s="382"/>
      <c r="L330" s="382"/>
      <c r="M330" s="382"/>
      <c r="N330" s="382"/>
      <c r="O330" s="382"/>
    </row>
    <row r="331" spans="11:15" ht="12.5">
      <c r="K331" s="382"/>
      <c r="L331" s="382"/>
      <c r="M331" s="382"/>
      <c r="N331" s="382"/>
      <c r="O331" s="382"/>
    </row>
    <row r="332" spans="11:15" ht="12.5">
      <c r="K332" s="382"/>
      <c r="L332" s="382"/>
      <c r="M332" s="382"/>
      <c r="N332" s="382"/>
      <c r="O332" s="382"/>
    </row>
    <row r="333" spans="11:15" ht="12.5">
      <c r="K333" s="382"/>
      <c r="L333" s="382"/>
      <c r="M333" s="382"/>
      <c r="N333" s="382"/>
      <c r="O333" s="382"/>
    </row>
    <row r="334" spans="11:15" ht="12.5">
      <c r="K334" s="382"/>
      <c r="L334" s="382"/>
      <c r="M334" s="382"/>
      <c r="N334" s="382"/>
      <c r="O334" s="382"/>
    </row>
    <row r="335" spans="11:15" ht="12.5">
      <c r="K335" s="382"/>
      <c r="L335" s="382"/>
      <c r="M335" s="382"/>
      <c r="N335" s="382"/>
      <c r="O335" s="382"/>
    </row>
    <row r="336" spans="11:15" ht="12.5">
      <c r="K336" s="382"/>
      <c r="L336" s="382"/>
      <c r="M336" s="382"/>
      <c r="N336" s="382"/>
      <c r="O336" s="382"/>
    </row>
    <row r="337" spans="11:15" ht="12.5">
      <c r="K337" s="382"/>
      <c r="L337" s="382"/>
      <c r="M337" s="382"/>
      <c r="N337" s="382"/>
      <c r="O337" s="382"/>
    </row>
    <row r="338" spans="11:15" ht="12.5">
      <c r="K338" s="382"/>
      <c r="L338" s="382"/>
      <c r="M338" s="382"/>
      <c r="N338" s="382"/>
      <c r="O338" s="382"/>
    </row>
    <row r="339" spans="11:15" ht="12.5">
      <c r="K339" s="382"/>
      <c r="L339" s="382"/>
      <c r="M339" s="382"/>
      <c r="N339" s="382"/>
      <c r="O339" s="382"/>
    </row>
    <row r="340" spans="11:15" ht="12.5">
      <c r="K340" s="382"/>
      <c r="L340" s="382"/>
      <c r="M340" s="382"/>
      <c r="N340" s="382"/>
      <c r="O340" s="382"/>
    </row>
    <row r="341" spans="11:15" ht="12.5">
      <c r="K341" s="382"/>
      <c r="L341" s="382"/>
      <c r="M341" s="382"/>
      <c r="N341" s="382"/>
      <c r="O341" s="382"/>
    </row>
    <row r="342" spans="11:15" ht="12.5">
      <c r="K342" s="382"/>
      <c r="L342" s="382"/>
      <c r="M342" s="382"/>
      <c r="N342" s="382"/>
      <c r="O342" s="382"/>
    </row>
    <row r="343" spans="11:15" ht="12.5">
      <c r="K343" s="382"/>
      <c r="L343" s="382"/>
      <c r="M343" s="382"/>
      <c r="N343" s="382"/>
      <c r="O343" s="382"/>
    </row>
    <row r="344" spans="11:15" ht="12.5">
      <c r="K344" s="382"/>
      <c r="L344" s="382"/>
      <c r="M344" s="382"/>
      <c r="N344" s="382"/>
      <c r="O344" s="382"/>
    </row>
    <row r="345" spans="11:15" ht="12.5">
      <c r="K345" s="382"/>
      <c r="L345" s="382"/>
      <c r="M345" s="382"/>
      <c r="N345" s="382"/>
      <c r="O345" s="382"/>
    </row>
    <row r="346" spans="11:15" ht="12.5">
      <c r="K346" s="382"/>
      <c r="L346" s="382"/>
      <c r="M346" s="382"/>
      <c r="N346" s="382"/>
      <c r="O346" s="382"/>
    </row>
    <row r="347" spans="11:15" ht="12.5">
      <c r="K347" s="382"/>
      <c r="L347" s="382"/>
      <c r="M347" s="382"/>
      <c r="N347" s="382"/>
      <c r="O347" s="382"/>
    </row>
    <row r="348" spans="11:15" ht="12.5">
      <c r="K348" s="382"/>
      <c r="L348" s="382"/>
      <c r="M348" s="382"/>
      <c r="N348" s="382"/>
      <c r="O348" s="382"/>
    </row>
    <row r="349" spans="11:15" ht="12.5">
      <c r="K349" s="382"/>
      <c r="L349" s="382"/>
      <c r="M349" s="382"/>
      <c r="N349" s="382"/>
      <c r="O349" s="382"/>
    </row>
    <row r="350" spans="11:15" ht="12.5">
      <c r="K350" s="382"/>
      <c r="L350" s="382"/>
      <c r="M350" s="382"/>
      <c r="N350" s="382"/>
      <c r="O350" s="382"/>
    </row>
    <row r="351" spans="11:15" ht="12.5">
      <c r="K351" s="382"/>
      <c r="L351" s="382"/>
      <c r="M351" s="382"/>
      <c r="N351" s="382"/>
      <c r="O351" s="382"/>
    </row>
    <row r="352" spans="11:15" ht="12.5">
      <c r="K352" s="382"/>
      <c r="L352" s="382"/>
      <c r="M352" s="382"/>
      <c r="N352" s="382"/>
      <c r="O352" s="382"/>
    </row>
    <row r="353" spans="11:15" ht="12.5">
      <c r="K353" s="382"/>
      <c r="L353" s="382"/>
      <c r="M353" s="382"/>
      <c r="N353" s="382"/>
      <c r="O353" s="382"/>
    </row>
    <row r="354" spans="11:15" ht="12.5">
      <c r="K354" s="382"/>
      <c r="L354" s="382"/>
      <c r="M354" s="382"/>
      <c r="N354" s="382"/>
      <c r="O354" s="382"/>
    </row>
    <row r="355" spans="11:15" ht="12.5">
      <c r="K355" s="382"/>
      <c r="L355" s="382"/>
      <c r="M355" s="382"/>
      <c r="N355" s="382"/>
      <c r="O355" s="382"/>
    </row>
    <row r="356" spans="11:15" ht="12.5">
      <c r="K356" s="382"/>
      <c r="L356" s="382"/>
      <c r="M356" s="382"/>
      <c r="N356" s="382"/>
      <c r="O356" s="382"/>
    </row>
    <row r="357" spans="11:15" ht="12.5">
      <c r="K357" s="382"/>
      <c r="L357" s="382"/>
      <c r="M357" s="382"/>
      <c r="N357" s="382"/>
      <c r="O357" s="382"/>
    </row>
    <row r="358" spans="11:15" ht="12.5">
      <c r="K358" s="382"/>
      <c r="L358" s="382"/>
      <c r="M358" s="382"/>
      <c r="N358" s="382"/>
      <c r="O358" s="382"/>
    </row>
    <row r="359" spans="11:15" ht="12.5">
      <c r="K359" s="382"/>
      <c r="L359" s="382"/>
      <c r="M359" s="382"/>
      <c r="N359" s="382"/>
      <c r="O359" s="382"/>
    </row>
    <row r="360" spans="11:15" ht="12.5">
      <c r="K360" s="382"/>
      <c r="L360" s="382"/>
      <c r="M360" s="382"/>
      <c r="N360" s="382"/>
      <c r="O360" s="382"/>
    </row>
    <row r="361" spans="11:15" ht="12.5">
      <c r="K361" s="382"/>
      <c r="L361" s="382"/>
      <c r="M361" s="382"/>
      <c r="N361" s="382"/>
      <c r="O361" s="382"/>
    </row>
    <row r="362" spans="11:15" ht="12.5">
      <c r="K362" s="382"/>
      <c r="L362" s="382"/>
      <c r="M362" s="382"/>
      <c r="N362" s="382"/>
      <c r="O362" s="382"/>
    </row>
    <row r="363" spans="11:15" ht="12.5">
      <c r="K363" s="382"/>
      <c r="L363" s="382"/>
      <c r="M363" s="382"/>
      <c r="N363" s="382"/>
      <c r="O363" s="382"/>
    </row>
    <row r="364" spans="11:15" ht="12.5">
      <c r="K364" s="382"/>
      <c r="L364" s="382"/>
      <c r="M364" s="382"/>
      <c r="N364" s="382"/>
      <c r="O364" s="382"/>
    </row>
    <row r="365" spans="11:15" ht="12.5">
      <c r="K365" s="382"/>
      <c r="L365" s="382"/>
      <c r="M365" s="382"/>
      <c r="N365" s="382"/>
      <c r="O365" s="382"/>
    </row>
    <row r="366" spans="11:15" ht="12.5">
      <c r="K366" s="382"/>
      <c r="L366" s="382"/>
      <c r="M366" s="382"/>
      <c r="N366" s="382"/>
      <c r="O366" s="382"/>
    </row>
    <row r="367" spans="11:15" ht="12.5">
      <c r="K367" s="382"/>
      <c r="L367" s="382"/>
      <c r="M367" s="382"/>
      <c r="N367" s="382"/>
      <c r="O367" s="382"/>
    </row>
    <row r="368" spans="11:15" ht="12.5">
      <c r="K368" s="382"/>
      <c r="L368" s="382"/>
      <c r="M368" s="382"/>
      <c r="N368" s="382"/>
      <c r="O368" s="382"/>
    </row>
    <row r="369" spans="11:15" ht="12.5">
      <c r="K369" s="382"/>
      <c r="L369" s="382"/>
      <c r="M369" s="382"/>
      <c r="N369" s="382"/>
      <c r="O369" s="382"/>
    </row>
    <row r="370" spans="11:15" ht="12.5">
      <c r="K370" s="382"/>
      <c r="L370" s="382"/>
      <c r="M370" s="382"/>
      <c r="N370" s="382"/>
      <c r="O370" s="382"/>
    </row>
    <row r="371" spans="11:15" ht="12.5">
      <c r="K371" s="382"/>
      <c r="L371" s="382"/>
      <c r="M371" s="382"/>
      <c r="N371" s="382"/>
      <c r="O371" s="382"/>
    </row>
    <row r="372" spans="11:15" ht="12.5">
      <c r="K372" s="382"/>
      <c r="L372" s="382"/>
      <c r="M372" s="382"/>
      <c r="N372" s="382"/>
      <c r="O372" s="382"/>
    </row>
    <row r="373" spans="11:15" ht="12.5">
      <c r="K373" s="382"/>
      <c r="L373" s="382"/>
      <c r="M373" s="382"/>
      <c r="N373" s="382"/>
      <c r="O373" s="382"/>
    </row>
    <row r="374" spans="11:15" ht="12.5">
      <c r="K374" s="382"/>
      <c r="L374" s="382"/>
      <c r="M374" s="382"/>
      <c r="N374" s="382"/>
      <c r="O374" s="382"/>
    </row>
    <row r="375" spans="11:15" ht="12.5">
      <c r="K375" s="382"/>
      <c r="L375" s="382"/>
      <c r="M375" s="382"/>
      <c r="N375" s="382"/>
      <c r="O375" s="382"/>
    </row>
    <row r="376" spans="11:15" ht="12.5">
      <c r="K376" s="382"/>
      <c r="L376" s="382"/>
      <c r="M376" s="382"/>
      <c r="N376" s="382"/>
      <c r="O376" s="382"/>
    </row>
    <row r="377" spans="11:15" ht="12.5">
      <c r="K377" s="382"/>
      <c r="L377" s="382"/>
      <c r="M377" s="382"/>
      <c r="N377" s="382"/>
      <c r="O377" s="382"/>
    </row>
    <row r="378" spans="11:15" ht="12.5">
      <c r="K378" s="382"/>
      <c r="L378" s="382"/>
      <c r="M378" s="382"/>
      <c r="N378" s="382"/>
      <c r="O378" s="382"/>
    </row>
    <row r="379" spans="11:15" ht="12.5">
      <c r="K379" s="382"/>
      <c r="L379" s="382"/>
      <c r="M379" s="382"/>
      <c r="N379" s="382"/>
      <c r="O379" s="382"/>
    </row>
    <row r="380" spans="11:15" ht="12.5">
      <c r="K380" s="382"/>
      <c r="L380" s="382"/>
      <c r="M380" s="382"/>
      <c r="N380" s="382"/>
      <c r="O380" s="382"/>
    </row>
    <row r="381" spans="11:15" ht="12.5">
      <c r="K381" s="382"/>
      <c r="L381" s="382"/>
      <c r="M381" s="382"/>
      <c r="N381" s="382"/>
      <c r="O381" s="382"/>
    </row>
    <row r="382" spans="11:15" ht="12.5">
      <c r="K382" s="382"/>
      <c r="L382" s="382"/>
      <c r="M382" s="382"/>
      <c r="N382" s="382"/>
      <c r="O382" s="382"/>
    </row>
    <row r="383" spans="11:15" ht="12.5">
      <c r="K383" s="382"/>
      <c r="L383" s="382"/>
      <c r="M383" s="382"/>
      <c r="N383" s="382"/>
      <c r="O383" s="382"/>
    </row>
    <row r="384" spans="11:15" ht="12.5">
      <c r="K384" s="382"/>
      <c r="L384" s="382"/>
      <c r="M384" s="382"/>
      <c r="N384" s="382"/>
      <c r="O384" s="382"/>
    </row>
    <row r="385" spans="11:15" ht="12.5">
      <c r="K385" s="382"/>
      <c r="L385" s="382"/>
      <c r="M385" s="382"/>
      <c r="N385" s="382"/>
      <c r="O385" s="382"/>
    </row>
    <row r="386" spans="11:15" ht="12.5">
      <c r="K386" s="382"/>
      <c r="L386" s="382"/>
      <c r="M386" s="382"/>
      <c r="N386" s="382"/>
      <c r="O386" s="382"/>
    </row>
    <row r="387" spans="11:15" ht="12.5">
      <c r="K387" s="382"/>
      <c r="L387" s="382"/>
      <c r="M387" s="382"/>
      <c r="N387" s="382"/>
      <c r="O387" s="382"/>
    </row>
    <row r="388" spans="11:15" ht="12.5">
      <c r="K388" s="382"/>
      <c r="L388" s="382"/>
      <c r="M388" s="382"/>
      <c r="N388" s="382"/>
      <c r="O388" s="382"/>
    </row>
    <row r="389" spans="11:15" ht="12.5">
      <c r="K389" s="382"/>
      <c r="L389" s="382"/>
      <c r="M389" s="382"/>
      <c r="N389" s="382"/>
      <c r="O389" s="382"/>
    </row>
    <row r="390" spans="11:15" ht="12.5">
      <c r="K390" s="382"/>
      <c r="L390" s="382"/>
      <c r="M390" s="382"/>
      <c r="N390" s="382"/>
      <c r="O390" s="382"/>
    </row>
    <row r="391" spans="11:15" ht="12.5">
      <c r="K391" s="382"/>
      <c r="L391" s="382"/>
      <c r="M391" s="382"/>
      <c r="N391" s="382"/>
      <c r="O391" s="382"/>
    </row>
    <row r="392" spans="11:15" ht="12.5">
      <c r="K392" s="382"/>
      <c r="L392" s="382"/>
      <c r="M392" s="382"/>
      <c r="N392" s="382"/>
      <c r="O392" s="382"/>
    </row>
    <row r="393" spans="11:15" ht="12.5">
      <c r="K393" s="382"/>
      <c r="L393" s="382"/>
      <c r="M393" s="382"/>
      <c r="N393" s="382"/>
      <c r="O393" s="382"/>
    </row>
    <row r="394" spans="11:15" ht="12.5">
      <c r="K394" s="382"/>
      <c r="L394" s="382"/>
      <c r="M394" s="382"/>
      <c r="N394" s="382"/>
      <c r="O394" s="382"/>
    </row>
    <row r="395" spans="11:15" ht="12.5">
      <c r="K395" s="382"/>
      <c r="L395" s="382"/>
      <c r="M395" s="382"/>
      <c r="N395" s="382"/>
      <c r="O395" s="382"/>
    </row>
    <row r="396" spans="11:15" ht="12.5">
      <c r="K396" s="382"/>
      <c r="L396" s="382"/>
      <c r="M396" s="382"/>
      <c r="N396" s="382"/>
      <c r="O396" s="382"/>
    </row>
    <row r="397" spans="11:15" ht="12.5">
      <c r="K397" s="382"/>
      <c r="L397" s="382"/>
      <c r="M397" s="382"/>
      <c r="N397" s="382"/>
      <c r="O397" s="382"/>
    </row>
    <row r="398" spans="11:15" ht="12.5">
      <c r="K398" s="382"/>
      <c r="L398" s="382"/>
      <c r="M398" s="382"/>
      <c r="N398" s="382"/>
      <c r="O398" s="382"/>
    </row>
    <row r="399" spans="11:15" ht="12.5">
      <c r="K399" s="382"/>
      <c r="L399" s="382"/>
      <c r="M399" s="382"/>
      <c r="N399" s="382"/>
      <c r="O399" s="382"/>
    </row>
    <row r="400" spans="11:15" ht="12.5">
      <c r="K400" s="382"/>
      <c r="L400" s="382"/>
      <c r="M400" s="382"/>
      <c r="N400" s="382"/>
      <c r="O400" s="382"/>
    </row>
    <row r="401" spans="11:15" ht="12.5">
      <c r="K401" s="382"/>
      <c r="L401" s="382"/>
      <c r="M401" s="382"/>
      <c r="N401" s="382"/>
      <c r="O401" s="382"/>
    </row>
    <row r="402" spans="11:15" ht="12.5">
      <c r="K402" s="382"/>
      <c r="L402" s="382"/>
      <c r="M402" s="382"/>
      <c r="N402" s="382"/>
      <c r="O402" s="382"/>
    </row>
    <row r="403" spans="11:15" ht="12.5">
      <c r="K403" s="382"/>
      <c r="L403" s="382"/>
      <c r="M403" s="382"/>
      <c r="N403" s="382"/>
      <c r="O403" s="382"/>
    </row>
    <row r="404" spans="11:15" ht="12.5">
      <c r="K404" s="382"/>
      <c r="L404" s="382"/>
      <c r="M404" s="382"/>
      <c r="N404" s="382"/>
      <c r="O404" s="382"/>
    </row>
    <row r="405" spans="11:15" ht="12.5">
      <c r="K405" s="382"/>
      <c r="L405" s="382"/>
      <c r="M405" s="382"/>
      <c r="N405" s="382"/>
      <c r="O405" s="382"/>
    </row>
    <row r="406" spans="11:15" ht="12.5">
      <c r="K406" s="382"/>
      <c r="L406" s="382"/>
      <c r="M406" s="382"/>
      <c r="N406" s="382"/>
      <c r="O406" s="382"/>
    </row>
    <row r="407" spans="11:15" ht="12.5">
      <c r="K407" s="382"/>
      <c r="L407" s="382"/>
      <c r="M407" s="382"/>
      <c r="N407" s="382"/>
      <c r="O407" s="382"/>
    </row>
    <row r="408" spans="11:15" ht="12.5">
      <c r="K408" s="382"/>
      <c r="L408" s="382"/>
      <c r="M408" s="382"/>
      <c r="N408" s="382"/>
      <c r="O408" s="382"/>
    </row>
    <row r="409" spans="11:15" ht="12.5">
      <c r="K409" s="382"/>
      <c r="L409" s="382"/>
      <c r="M409" s="382"/>
      <c r="N409" s="382"/>
      <c r="O409" s="382"/>
    </row>
    <row r="410" spans="11:15" ht="12.5">
      <c r="K410" s="382"/>
      <c r="L410" s="382"/>
      <c r="M410" s="382"/>
      <c r="N410" s="382"/>
      <c r="O410" s="382"/>
    </row>
    <row r="411" spans="11:15" ht="12.5">
      <c r="K411" s="382"/>
      <c r="L411" s="382"/>
      <c r="M411" s="382"/>
      <c r="N411" s="382"/>
      <c r="O411" s="382"/>
    </row>
    <row r="412" spans="11:15" ht="12.5">
      <c r="K412" s="382"/>
      <c r="L412" s="382"/>
      <c r="M412" s="382"/>
      <c r="N412" s="382"/>
      <c r="O412" s="382"/>
    </row>
    <row r="413" spans="11:15" ht="12.5">
      <c r="K413" s="382"/>
      <c r="L413" s="382"/>
      <c r="M413" s="382"/>
      <c r="N413" s="382"/>
      <c r="O413" s="382"/>
    </row>
    <row r="414" spans="11:15" ht="12.5">
      <c r="K414" s="382"/>
      <c r="L414" s="382"/>
      <c r="M414" s="382"/>
      <c r="N414" s="382"/>
      <c r="O414" s="382"/>
    </row>
    <row r="415" spans="11:15" ht="12.5">
      <c r="K415" s="382"/>
      <c r="L415" s="382"/>
      <c r="M415" s="382"/>
      <c r="N415" s="382"/>
      <c r="O415" s="382"/>
    </row>
    <row r="416" spans="11:15" ht="12.5">
      <c r="K416" s="382"/>
      <c r="L416" s="382"/>
      <c r="M416" s="382"/>
      <c r="N416" s="382"/>
      <c r="O416" s="382"/>
    </row>
    <row r="417" spans="11:15" ht="12.5">
      <c r="K417" s="382"/>
      <c r="L417" s="382"/>
      <c r="M417" s="382"/>
      <c r="N417" s="382"/>
      <c r="O417" s="382"/>
    </row>
    <row r="418" spans="11:15" ht="12.5">
      <c r="K418" s="382"/>
      <c r="L418" s="382"/>
      <c r="M418" s="382"/>
      <c r="N418" s="382"/>
      <c r="O418" s="382"/>
    </row>
    <row r="419" spans="11:15" ht="12.5">
      <c r="K419" s="382"/>
      <c r="L419" s="382"/>
      <c r="M419" s="382"/>
      <c r="N419" s="382"/>
      <c r="O419" s="382"/>
    </row>
    <row r="420" spans="11:15" ht="12.5">
      <c r="K420" s="382"/>
      <c r="L420" s="382"/>
      <c r="M420" s="382"/>
      <c r="N420" s="382"/>
      <c r="O420" s="382"/>
    </row>
    <row r="421" spans="11:15" ht="12.5">
      <c r="K421" s="382"/>
      <c r="L421" s="382"/>
      <c r="M421" s="382"/>
      <c r="N421" s="382"/>
      <c r="O421" s="382"/>
    </row>
    <row r="422" spans="11:15" ht="12.5">
      <c r="K422" s="382"/>
      <c r="L422" s="382"/>
      <c r="M422" s="382"/>
      <c r="N422" s="382"/>
      <c r="O422" s="382"/>
    </row>
    <row r="423" spans="11:15" ht="12.5">
      <c r="K423" s="382"/>
      <c r="L423" s="382"/>
      <c r="M423" s="382"/>
      <c r="N423" s="382"/>
      <c r="O423" s="382"/>
    </row>
    <row r="424" spans="11:15" ht="12.5">
      <c r="K424" s="382"/>
      <c r="L424" s="382"/>
      <c r="M424" s="382"/>
      <c r="N424" s="382"/>
      <c r="O424" s="382"/>
    </row>
    <row r="425" spans="11:15" ht="12.5">
      <c r="K425" s="382"/>
      <c r="L425" s="382"/>
      <c r="M425" s="382"/>
      <c r="N425" s="382"/>
      <c r="O425" s="382"/>
    </row>
    <row r="426" spans="11:15" ht="12.5">
      <c r="K426" s="382"/>
      <c r="L426" s="382"/>
      <c r="M426" s="382"/>
      <c r="N426" s="382"/>
      <c r="O426" s="382"/>
    </row>
    <row r="427" spans="11:15" ht="12.5">
      <c r="K427" s="382"/>
      <c r="L427" s="382"/>
      <c r="M427" s="382"/>
      <c r="N427" s="382"/>
      <c r="O427" s="382"/>
    </row>
    <row r="428" spans="11:15" ht="12.5">
      <c r="K428" s="382"/>
      <c r="L428" s="382"/>
      <c r="M428" s="382"/>
      <c r="N428" s="382"/>
      <c r="O428" s="382"/>
    </row>
    <row r="429" spans="11:15" ht="12.5">
      <c r="K429" s="382"/>
      <c r="L429" s="382"/>
      <c r="M429" s="382"/>
      <c r="N429" s="382"/>
      <c r="O429" s="382"/>
    </row>
    <row r="430" spans="11:15" ht="12.5">
      <c r="K430" s="382"/>
      <c r="L430" s="382"/>
      <c r="M430" s="382"/>
      <c r="N430" s="382"/>
      <c r="O430" s="382"/>
    </row>
    <row r="431" spans="11:15" ht="12.5">
      <c r="K431" s="382"/>
      <c r="L431" s="382"/>
      <c r="M431" s="382"/>
      <c r="N431" s="382"/>
      <c r="O431" s="382"/>
    </row>
    <row r="432" spans="11:15" ht="12.5">
      <c r="K432" s="382"/>
      <c r="L432" s="382"/>
      <c r="M432" s="382"/>
      <c r="N432" s="382"/>
      <c r="O432" s="382"/>
    </row>
    <row r="433" spans="11:15" ht="12.5">
      <c r="K433" s="382"/>
      <c r="L433" s="382"/>
      <c r="M433" s="382"/>
      <c r="N433" s="382"/>
      <c r="O433" s="382"/>
    </row>
    <row r="434" spans="11:15" ht="12.5">
      <c r="K434" s="382"/>
      <c r="L434" s="382"/>
      <c r="M434" s="382"/>
      <c r="N434" s="382"/>
      <c r="O434" s="382"/>
    </row>
    <row r="435" spans="11:15" ht="12.5">
      <c r="K435" s="382"/>
      <c r="L435" s="382"/>
      <c r="M435" s="382"/>
      <c r="N435" s="382"/>
      <c r="O435" s="382"/>
    </row>
    <row r="436" spans="11:15" ht="12.5">
      <c r="K436" s="382"/>
      <c r="L436" s="382"/>
      <c r="M436" s="382"/>
      <c r="N436" s="382"/>
      <c r="O436" s="382"/>
    </row>
    <row r="437" spans="11:15" ht="12.5">
      <c r="K437" s="382"/>
      <c r="L437" s="382"/>
      <c r="M437" s="382"/>
      <c r="N437" s="382"/>
      <c r="O437" s="382"/>
    </row>
    <row r="438" spans="11:15" ht="12.5">
      <c r="K438" s="382"/>
      <c r="L438" s="382"/>
      <c r="M438" s="382"/>
      <c r="N438" s="382"/>
      <c r="O438" s="382"/>
    </row>
    <row r="439" spans="11:15" ht="12.5">
      <c r="K439" s="382"/>
      <c r="L439" s="382"/>
      <c r="M439" s="382"/>
      <c r="N439" s="382"/>
      <c r="O439" s="382"/>
    </row>
    <row r="440" spans="11:15" ht="12.5">
      <c r="K440" s="382"/>
      <c r="L440" s="382"/>
      <c r="M440" s="382"/>
      <c r="N440" s="382"/>
      <c r="O440" s="382"/>
    </row>
    <row r="441" spans="11:15" ht="12.5">
      <c r="K441" s="382"/>
      <c r="L441" s="382"/>
      <c r="M441" s="382"/>
      <c r="N441" s="382"/>
      <c r="O441" s="382"/>
    </row>
    <row r="442" spans="11:15" ht="12.5">
      <c r="K442" s="382"/>
      <c r="L442" s="382"/>
      <c r="M442" s="382"/>
      <c r="N442" s="382"/>
      <c r="O442" s="382"/>
    </row>
    <row r="443" spans="11:15" ht="12.5">
      <c r="K443" s="382"/>
      <c r="L443" s="382"/>
      <c r="M443" s="382"/>
      <c r="N443" s="382"/>
      <c r="O443" s="382"/>
    </row>
    <row r="444" spans="11:15" ht="12.5">
      <c r="K444" s="382"/>
      <c r="L444" s="382"/>
      <c r="M444" s="382"/>
      <c r="N444" s="382"/>
      <c r="O444" s="382"/>
    </row>
    <row r="445" spans="11:15" ht="12.5">
      <c r="K445" s="382"/>
      <c r="L445" s="382"/>
      <c r="M445" s="382"/>
      <c r="N445" s="382"/>
      <c r="O445" s="382"/>
    </row>
    <row r="446" spans="11:15" ht="12.5">
      <c r="K446" s="382"/>
      <c r="L446" s="382"/>
      <c r="M446" s="382"/>
      <c r="N446" s="382"/>
      <c r="O446" s="382"/>
    </row>
    <row r="447" spans="11:15" ht="12.5">
      <c r="K447" s="382"/>
      <c r="L447" s="382"/>
      <c r="M447" s="382"/>
      <c r="N447" s="382"/>
      <c r="O447" s="382"/>
    </row>
    <row r="448" spans="11:15" ht="12.5">
      <c r="K448" s="382"/>
      <c r="L448" s="382"/>
      <c r="M448" s="382"/>
      <c r="N448" s="382"/>
      <c r="O448" s="382"/>
    </row>
    <row r="449" spans="11:15" ht="12.5">
      <c r="K449" s="382"/>
      <c r="L449" s="382"/>
      <c r="M449" s="382"/>
      <c r="N449" s="382"/>
      <c r="O449" s="382"/>
    </row>
    <row r="450" spans="11:15" ht="12.5">
      <c r="K450" s="382"/>
      <c r="L450" s="382"/>
      <c r="M450" s="382"/>
      <c r="N450" s="382"/>
      <c r="O450" s="382"/>
    </row>
    <row r="451" spans="11:15" ht="12.5">
      <c r="K451" s="382"/>
      <c r="L451" s="382"/>
      <c r="M451" s="382"/>
      <c r="N451" s="382"/>
      <c r="O451" s="382"/>
    </row>
    <row r="452" spans="11:15" ht="12.5">
      <c r="K452" s="382"/>
      <c r="L452" s="382"/>
      <c r="M452" s="382"/>
      <c r="N452" s="382"/>
      <c r="O452" s="382"/>
    </row>
    <row r="453" spans="11:15" ht="12.5">
      <c r="K453" s="382"/>
      <c r="L453" s="382"/>
      <c r="M453" s="382"/>
      <c r="N453" s="382"/>
      <c r="O453" s="382"/>
    </row>
    <row r="454" spans="11:15" ht="12.5">
      <c r="K454" s="382"/>
      <c r="L454" s="382"/>
      <c r="M454" s="382"/>
      <c r="N454" s="382"/>
      <c r="O454" s="382"/>
    </row>
    <row r="455" spans="11:15" ht="12.5">
      <c r="K455" s="382"/>
      <c r="L455" s="382"/>
      <c r="M455" s="382"/>
      <c r="N455" s="382"/>
      <c r="O455" s="382"/>
    </row>
    <row r="456" spans="11:15" ht="12.5">
      <c r="K456" s="382"/>
      <c r="L456" s="382"/>
      <c r="M456" s="382"/>
      <c r="N456" s="382"/>
      <c r="O456" s="382"/>
    </row>
    <row r="457" spans="11:15" ht="12.5">
      <c r="K457" s="382"/>
      <c r="L457" s="382"/>
      <c r="M457" s="382"/>
      <c r="N457" s="382"/>
      <c r="O457" s="382"/>
    </row>
    <row r="458" spans="11:15" ht="12.5">
      <c r="K458" s="382"/>
      <c r="L458" s="382"/>
      <c r="M458" s="382"/>
      <c r="N458" s="382"/>
      <c r="O458" s="382"/>
    </row>
    <row r="459" spans="11:15" ht="12.5">
      <c r="K459" s="382"/>
      <c r="L459" s="382"/>
      <c r="M459" s="382"/>
      <c r="N459" s="382"/>
      <c r="O459" s="382"/>
    </row>
    <row r="460" spans="11:15" ht="12.5">
      <c r="K460" s="382"/>
      <c r="L460" s="382"/>
      <c r="M460" s="382"/>
      <c r="N460" s="382"/>
      <c r="O460" s="382"/>
    </row>
    <row r="461" spans="11:15" ht="12.5">
      <c r="K461" s="382"/>
      <c r="L461" s="382"/>
      <c r="M461" s="382"/>
      <c r="N461" s="382"/>
      <c r="O461" s="382"/>
    </row>
    <row r="462" spans="11:15" ht="12.5">
      <c r="K462" s="382"/>
      <c r="L462" s="382"/>
      <c r="M462" s="382"/>
      <c r="N462" s="382"/>
      <c r="O462" s="382"/>
    </row>
    <row r="463" spans="11:15" ht="12.5">
      <c r="K463" s="382"/>
      <c r="L463" s="382"/>
      <c r="M463" s="382"/>
      <c r="N463" s="382"/>
      <c r="O463" s="382"/>
    </row>
    <row r="464" spans="11:15" ht="12.5">
      <c r="K464" s="382"/>
      <c r="L464" s="382"/>
      <c r="M464" s="382"/>
      <c r="N464" s="382"/>
      <c r="O464" s="382"/>
    </row>
    <row r="465" spans="11:15" ht="12.5">
      <c r="K465" s="382"/>
      <c r="L465" s="382"/>
      <c r="M465" s="382"/>
      <c r="N465" s="382"/>
      <c r="O465" s="382"/>
    </row>
    <row r="466" spans="11:15" ht="12.5">
      <c r="K466" s="382"/>
      <c r="L466" s="382"/>
      <c r="M466" s="382"/>
      <c r="N466" s="382"/>
      <c r="O466" s="382"/>
    </row>
    <row r="467" spans="11:15" ht="12.5">
      <c r="K467" s="382"/>
      <c r="L467" s="382"/>
      <c r="M467" s="382"/>
      <c r="N467" s="382"/>
      <c r="O467" s="382"/>
    </row>
    <row r="468" spans="11:15" ht="12.5">
      <c r="K468" s="382"/>
      <c r="L468" s="382"/>
      <c r="M468" s="382"/>
      <c r="N468" s="382"/>
      <c r="O468" s="382"/>
    </row>
    <row r="469" spans="11:15" ht="12.5">
      <c r="K469" s="382"/>
      <c r="L469" s="382"/>
      <c r="M469" s="382"/>
      <c r="N469" s="382"/>
      <c r="O469" s="382"/>
    </row>
    <row r="470" spans="11:15" ht="12.5">
      <c r="K470" s="382"/>
      <c r="L470" s="382"/>
      <c r="M470" s="382"/>
      <c r="N470" s="382"/>
      <c r="O470" s="382"/>
    </row>
    <row r="471" spans="11:15" ht="12.5">
      <c r="K471" s="382"/>
      <c r="L471" s="382"/>
      <c r="M471" s="382"/>
      <c r="N471" s="382"/>
      <c r="O471" s="382"/>
    </row>
    <row r="472" spans="11:15" ht="12.5">
      <c r="K472" s="382"/>
      <c r="L472" s="382"/>
      <c r="M472" s="382"/>
      <c r="N472" s="382"/>
      <c r="O472" s="382"/>
    </row>
    <row r="473" spans="11:15" ht="12.5">
      <c r="K473" s="382"/>
      <c r="L473" s="382"/>
      <c r="M473" s="382"/>
      <c r="N473" s="382"/>
      <c r="O473" s="382"/>
    </row>
    <row r="474" spans="11:15" ht="12.5">
      <c r="K474" s="382"/>
      <c r="L474" s="382"/>
      <c r="M474" s="382"/>
      <c r="N474" s="382"/>
      <c r="O474" s="382"/>
    </row>
    <row r="475" spans="11:15" ht="12.5">
      <c r="K475" s="382"/>
      <c r="L475" s="382"/>
      <c r="M475" s="382"/>
      <c r="N475" s="382"/>
      <c r="O475" s="382"/>
    </row>
    <row r="476" spans="11:15" ht="12.5">
      <c r="K476" s="382"/>
      <c r="L476" s="382"/>
      <c r="M476" s="382"/>
      <c r="N476" s="382"/>
      <c r="O476" s="382"/>
    </row>
    <row r="477" spans="11:15" ht="12.5">
      <c r="K477" s="382"/>
      <c r="L477" s="382"/>
      <c r="M477" s="382"/>
      <c r="N477" s="382"/>
      <c r="O477" s="382"/>
    </row>
    <row r="478" spans="11:15" ht="12.5">
      <c r="K478" s="382"/>
      <c r="L478" s="382"/>
      <c r="M478" s="382"/>
      <c r="N478" s="382"/>
      <c r="O478" s="382"/>
    </row>
    <row r="479" spans="11:15" ht="12.5">
      <c r="K479" s="382"/>
      <c r="L479" s="382"/>
      <c r="M479" s="382"/>
      <c r="N479" s="382"/>
      <c r="O479" s="382"/>
    </row>
    <row r="480" spans="11:15" ht="12.5">
      <c r="K480" s="382"/>
      <c r="L480" s="382"/>
      <c r="M480" s="382"/>
      <c r="N480" s="382"/>
      <c r="O480" s="382"/>
    </row>
    <row r="481" spans="11:15" ht="12.5">
      <c r="K481" s="382"/>
      <c r="L481" s="382"/>
      <c r="M481" s="382"/>
      <c r="N481" s="382"/>
      <c r="O481" s="382"/>
    </row>
    <row r="482" spans="11:15" ht="12.5">
      <c r="K482" s="382"/>
      <c r="L482" s="382"/>
      <c r="M482" s="382"/>
      <c r="N482" s="382"/>
      <c r="O482" s="382"/>
    </row>
    <row r="483" spans="11:15" ht="12.5">
      <c r="K483" s="382"/>
      <c r="L483" s="382"/>
      <c r="M483" s="382"/>
      <c r="N483" s="382"/>
      <c r="O483" s="382"/>
    </row>
    <row r="484" spans="11:15" ht="12.5">
      <c r="K484" s="382"/>
      <c r="L484" s="382"/>
      <c r="M484" s="382"/>
      <c r="N484" s="382"/>
      <c r="O484" s="382"/>
    </row>
    <row r="485" spans="11:15" ht="12.5">
      <c r="K485" s="382"/>
      <c r="L485" s="382"/>
      <c r="M485" s="382"/>
      <c r="N485" s="382"/>
      <c r="O485" s="382"/>
    </row>
    <row r="486" spans="11:15" ht="12.5">
      <c r="K486" s="382"/>
      <c r="L486" s="382"/>
      <c r="M486" s="382"/>
      <c r="N486" s="382"/>
      <c r="O486" s="382"/>
    </row>
    <row r="487" spans="11:15" ht="12.5">
      <c r="K487" s="382"/>
      <c r="L487" s="382"/>
      <c r="M487" s="382"/>
      <c r="N487" s="382"/>
      <c r="O487" s="382"/>
    </row>
    <row r="488" spans="11:15" ht="12.5">
      <c r="K488" s="382"/>
      <c r="L488" s="382"/>
      <c r="M488" s="382"/>
      <c r="N488" s="382"/>
      <c r="O488" s="382"/>
    </row>
    <row r="489" spans="11:15" ht="12.5">
      <c r="K489" s="382"/>
      <c r="L489" s="382"/>
      <c r="M489" s="382"/>
      <c r="N489" s="382"/>
      <c r="O489" s="382"/>
    </row>
    <row r="490" spans="11:15" ht="12.5">
      <c r="K490" s="382"/>
      <c r="L490" s="382"/>
      <c r="M490" s="382"/>
      <c r="N490" s="382"/>
      <c r="O490" s="382"/>
    </row>
    <row r="491" spans="11:15" ht="12.5">
      <c r="K491" s="382"/>
      <c r="L491" s="382"/>
      <c r="M491" s="382"/>
      <c r="N491" s="382"/>
      <c r="O491" s="382"/>
    </row>
    <row r="492" spans="11:15" ht="12.5">
      <c r="K492" s="382"/>
      <c r="L492" s="382"/>
      <c r="M492" s="382"/>
      <c r="N492" s="382"/>
      <c r="O492" s="382"/>
    </row>
    <row r="493" spans="11:15" ht="12.5">
      <c r="K493" s="382"/>
      <c r="L493" s="382"/>
      <c r="M493" s="382"/>
      <c r="N493" s="382"/>
      <c r="O493" s="382"/>
    </row>
    <row r="494" spans="11:15" ht="12.5">
      <c r="K494" s="382"/>
      <c r="L494" s="382"/>
      <c r="M494" s="382"/>
      <c r="N494" s="382"/>
      <c r="O494" s="382"/>
    </row>
    <row r="495" spans="11:15" ht="12.5">
      <c r="K495" s="382"/>
      <c r="L495" s="382"/>
      <c r="M495" s="382"/>
      <c r="N495" s="382"/>
      <c r="O495" s="382"/>
    </row>
    <row r="496" spans="11:15" ht="12.5">
      <c r="K496" s="382"/>
      <c r="L496" s="382"/>
      <c r="M496" s="382"/>
      <c r="N496" s="382"/>
      <c r="O496" s="382"/>
    </row>
    <row r="497" spans="11:15" ht="12.5">
      <c r="K497" s="382"/>
      <c r="L497" s="382"/>
      <c r="M497" s="382"/>
      <c r="N497" s="382"/>
      <c r="O497" s="382"/>
    </row>
    <row r="498" spans="11:15" ht="12.5">
      <c r="K498" s="382"/>
      <c r="L498" s="382"/>
      <c r="M498" s="382"/>
      <c r="N498" s="382"/>
      <c r="O498" s="382"/>
    </row>
    <row r="499" spans="11:15" ht="12.5">
      <c r="K499" s="382"/>
      <c r="L499" s="382"/>
      <c r="M499" s="382"/>
      <c r="N499" s="382"/>
      <c r="O499" s="382"/>
    </row>
    <row r="500" spans="11:15" ht="12.5">
      <c r="K500" s="382"/>
      <c r="L500" s="382"/>
      <c r="M500" s="382"/>
      <c r="N500" s="382"/>
      <c r="O500" s="382"/>
    </row>
    <row r="501" spans="11:15" ht="12.5">
      <c r="K501" s="382"/>
      <c r="L501" s="382"/>
      <c r="M501" s="382"/>
      <c r="N501" s="382"/>
      <c r="O501" s="382"/>
    </row>
    <row r="502" spans="11:15" ht="12.5">
      <c r="K502" s="382"/>
      <c r="L502" s="382"/>
      <c r="M502" s="382"/>
      <c r="N502" s="382"/>
      <c r="O502" s="382"/>
    </row>
    <row r="503" spans="11:15" ht="12.5">
      <c r="K503" s="382"/>
      <c r="L503" s="382"/>
      <c r="M503" s="382"/>
      <c r="N503" s="382"/>
      <c r="O503" s="382"/>
    </row>
    <row r="504" spans="11:15" ht="12.5">
      <c r="K504" s="382"/>
      <c r="L504" s="382"/>
      <c r="M504" s="382"/>
      <c r="N504" s="382"/>
      <c r="O504" s="382"/>
    </row>
    <row r="505" spans="11:15" ht="12.5">
      <c r="K505" s="382"/>
      <c r="L505" s="382"/>
      <c r="M505" s="382"/>
      <c r="N505" s="382"/>
      <c r="O505" s="382"/>
    </row>
    <row r="506" spans="11:15" ht="12.5">
      <c r="K506" s="382"/>
      <c r="L506" s="382"/>
      <c r="M506" s="382"/>
      <c r="N506" s="382"/>
      <c r="O506" s="382"/>
    </row>
    <row r="507" spans="11:15" ht="12.5">
      <c r="K507" s="382"/>
      <c r="L507" s="382"/>
      <c r="M507" s="382"/>
      <c r="N507" s="382"/>
      <c r="O507" s="382"/>
    </row>
    <row r="508" spans="11:15" ht="12.5">
      <c r="K508" s="382"/>
      <c r="L508" s="382"/>
      <c r="M508" s="382"/>
      <c r="N508" s="382"/>
      <c r="O508" s="382"/>
    </row>
    <row r="509" spans="11:15" ht="12.5">
      <c r="K509" s="382"/>
      <c r="L509" s="382"/>
      <c r="M509" s="382"/>
      <c r="N509" s="382"/>
      <c r="O509" s="382"/>
    </row>
    <row r="510" spans="11:15" ht="12.5">
      <c r="K510" s="382"/>
      <c r="L510" s="382"/>
      <c r="M510" s="382"/>
      <c r="N510" s="382"/>
      <c r="O510" s="382"/>
    </row>
    <row r="511" spans="11:15" ht="12.5">
      <c r="K511" s="382"/>
      <c r="L511" s="382"/>
      <c r="M511" s="382"/>
      <c r="N511" s="382"/>
      <c r="O511" s="382"/>
    </row>
    <row r="512" spans="11:15" ht="12.5">
      <c r="K512" s="382"/>
      <c r="L512" s="382"/>
      <c r="M512" s="382"/>
      <c r="N512" s="382"/>
      <c r="O512" s="382"/>
    </row>
    <row r="513" spans="11:15" ht="12.5">
      <c r="K513" s="382"/>
      <c r="L513" s="382"/>
      <c r="M513" s="382"/>
      <c r="N513" s="382"/>
      <c r="O513" s="382"/>
    </row>
    <row r="514" spans="11:15" ht="12.5">
      <c r="K514" s="382"/>
      <c r="L514" s="382"/>
      <c r="M514" s="382"/>
      <c r="N514" s="382"/>
      <c r="O514" s="382"/>
    </row>
    <row r="515" spans="11:15" ht="12.5">
      <c r="K515" s="382"/>
      <c r="L515" s="382"/>
      <c r="M515" s="382"/>
      <c r="N515" s="382"/>
      <c r="O515" s="382"/>
    </row>
    <row r="516" spans="11:15" ht="12.5">
      <c r="K516" s="382"/>
      <c r="L516" s="382"/>
      <c r="M516" s="382"/>
      <c r="N516" s="382"/>
      <c r="O516" s="382"/>
    </row>
    <row r="517" spans="11:15" ht="12.5">
      <c r="K517" s="382"/>
      <c r="L517" s="382"/>
      <c r="M517" s="382"/>
      <c r="N517" s="382"/>
      <c r="O517" s="382"/>
    </row>
    <row r="518" spans="11:15" ht="12.5">
      <c r="K518" s="382"/>
      <c r="L518" s="382"/>
      <c r="M518" s="382"/>
      <c r="N518" s="382"/>
      <c r="O518" s="382"/>
    </row>
    <row r="519" spans="11:15" ht="12.5">
      <c r="K519" s="382"/>
      <c r="L519" s="382"/>
      <c r="M519" s="382"/>
      <c r="N519" s="382"/>
      <c r="O519" s="382"/>
    </row>
    <row r="520" spans="11:15" ht="12.5">
      <c r="K520" s="382"/>
      <c r="L520" s="382"/>
      <c r="M520" s="382"/>
      <c r="N520" s="382"/>
      <c r="O520" s="382"/>
    </row>
    <row r="521" spans="11:15" ht="12.5">
      <c r="K521" s="382"/>
      <c r="L521" s="382"/>
      <c r="M521" s="382"/>
      <c r="N521" s="382"/>
      <c r="O521" s="382"/>
    </row>
    <row r="522" spans="11:15" ht="12.5">
      <c r="K522" s="382"/>
      <c r="L522" s="382"/>
      <c r="M522" s="382"/>
      <c r="N522" s="382"/>
      <c r="O522" s="382"/>
    </row>
    <row r="523" spans="11:15" ht="12.5">
      <c r="K523" s="382"/>
      <c r="L523" s="382"/>
      <c r="M523" s="382"/>
      <c r="N523" s="382"/>
      <c r="O523" s="382"/>
    </row>
    <row r="524" spans="11:15" ht="12.5">
      <c r="K524" s="382"/>
      <c r="L524" s="382"/>
      <c r="M524" s="382"/>
      <c r="N524" s="382"/>
      <c r="O524" s="382"/>
    </row>
    <row r="525" spans="11:15" ht="12.5">
      <c r="K525" s="382"/>
      <c r="L525" s="382"/>
      <c r="M525" s="382"/>
      <c r="N525" s="382"/>
      <c r="O525" s="382"/>
    </row>
    <row r="526" spans="11:15" ht="12.5">
      <c r="K526" s="382"/>
      <c r="L526" s="382"/>
      <c r="M526" s="382"/>
      <c r="N526" s="382"/>
      <c r="O526" s="382"/>
    </row>
    <row r="527" spans="11:15" ht="12.5">
      <c r="K527" s="382"/>
      <c r="L527" s="382"/>
      <c r="M527" s="382"/>
      <c r="N527" s="382"/>
      <c r="O527" s="382"/>
    </row>
    <row r="528" spans="11:15" ht="12.5">
      <c r="K528" s="382"/>
      <c r="L528" s="382"/>
      <c r="M528" s="382"/>
      <c r="N528" s="382"/>
      <c r="O528" s="382"/>
    </row>
    <row r="529" spans="11:15" ht="12.5">
      <c r="K529" s="382"/>
      <c r="L529" s="382"/>
      <c r="M529" s="382"/>
      <c r="N529" s="382"/>
      <c r="O529" s="382"/>
    </row>
    <row r="530" spans="11:15" ht="12.5">
      <c r="K530" s="382"/>
      <c r="L530" s="382"/>
      <c r="M530" s="382"/>
      <c r="N530" s="382"/>
      <c r="O530" s="382"/>
    </row>
    <row r="531" spans="11:15" ht="12.5">
      <c r="K531" s="382"/>
      <c r="L531" s="382"/>
      <c r="M531" s="382"/>
      <c r="N531" s="382"/>
      <c r="O531" s="382"/>
    </row>
    <row r="532" spans="11:15" ht="12.5">
      <c r="K532" s="382"/>
      <c r="L532" s="382"/>
      <c r="M532" s="382"/>
      <c r="N532" s="382"/>
      <c r="O532" s="382"/>
    </row>
    <row r="533" spans="11:15" ht="12.5">
      <c r="K533" s="382"/>
      <c r="L533" s="382"/>
      <c r="M533" s="382"/>
      <c r="N533" s="382"/>
      <c r="O533" s="382"/>
    </row>
    <row r="534" spans="11:15" ht="12.5">
      <c r="K534" s="382"/>
      <c r="L534" s="382"/>
      <c r="M534" s="382"/>
      <c r="N534" s="382"/>
      <c r="O534" s="382"/>
    </row>
    <row r="535" spans="11:15" ht="12.5">
      <c r="K535" s="382"/>
      <c r="L535" s="382"/>
      <c r="M535" s="382"/>
      <c r="N535" s="382"/>
      <c r="O535" s="382"/>
    </row>
    <row r="536" spans="11:15" ht="12.5">
      <c r="K536" s="382"/>
      <c r="L536" s="382"/>
      <c r="M536" s="382"/>
      <c r="N536" s="382"/>
      <c r="O536" s="382"/>
    </row>
    <row r="537" spans="11:15" ht="12.5">
      <c r="K537" s="382"/>
      <c r="L537" s="382"/>
      <c r="M537" s="382"/>
      <c r="N537" s="382"/>
      <c r="O537" s="382"/>
    </row>
    <row r="538" spans="11:15" ht="12.5">
      <c r="K538" s="382"/>
      <c r="L538" s="382"/>
      <c r="M538" s="382"/>
      <c r="N538" s="382"/>
      <c r="O538" s="382"/>
    </row>
    <row r="539" spans="11:15" ht="12.5">
      <c r="K539" s="382"/>
      <c r="L539" s="382"/>
      <c r="M539" s="382"/>
      <c r="N539" s="382"/>
      <c r="O539" s="382"/>
    </row>
    <row r="540" spans="11:15" ht="12.5">
      <c r="K540" s="382"/>
      <c r="L540" s="382"/>
      <c r="M540" s="382"/>
      <c r="N540" s="382"/>
      <c r="O540" s="382"/>
    </row>
    <row r="541" spans="11:15" ht="12.5">
      <c r="K541" s="382"/>
      <c r="L541" s="382"/>
      <c r="M541" s="382"/>
      <c r="N541" s="382"/>
      <c r="O541" s="382"/>
    </row>
    <row r="542" spans="11:15" ht="12.5">
      <c r="K542" s="382"/>
      <c r="L542" s="382"/>
      <c r="M542" s="382"/>
      <c r="N542" s="382"/>
      <c r="O542" s="382"/>
    </row>
    <row r="543" spans="11:15" ht="12.5">
      <c r="K543" s="382"/>
      <c r="L543" s="382"/>
      <c r="M543" s="382"/>
      <c r="N543" s="382"/>
      <c r="O543" s="382"/>
    </row>
    <row r="544" spans="11:15" ht="12.5">
      <c r="K544" s="382"/>
      <c r="L544" s="382"/>
      <c r="M544" s="382"/>
      <c r="N544" s="382"/>
      <c r="O544" s="382"/>
    </row>
    <row r="545" spans="11:15" ht="12.5">
      <c r="K545" s="382"/>
      <c r="L545" s="382"/>
      <c r="M545" s="382"/>
      <c r="N545" s="382"/>
      <c r="O545" s="382"/>
    </row>
    <row r="546" spans="11:15" ht="12.5">
      <c r="K546" s="382"/>
      <c r="L546" s="382"/>
      <c r="M546" s="382"/>
      <c r="N546" s="382"/>
      <c r="O546" s="382"/>
    </row>
    <row r="547" spans="11:15" ht="12.5">
      <c r="K547" s="382"/>
      <c r="L547" s="382"/>
      <c r="M547" s="382"/>
      <c r="N547" s="382"/>
      <c r="O547" s="382"/>
    </row>
    <row r="548" spans="11:15" ht="12.5">
      <c r="K548" s="382"/>
      <c r="L548" s="382"/>
      <c r="M548" s="382"/>
      <c r="N548" s="382"/>
      <c r="O548" s="382"/>
    </row>
    <row r="549" spans="11:15" ht="12.5">
      <c r="K549" s="382"/>
      <c r="L549" s="382"/>
      <c r="M549" s="382"/>
      <c r="N549" s="382"/>
      <c r="O549" s="382"/>
    </row>
    <row r="550" spans="11:15" ht="12.5">
      <c r="K550" s="382"/>
      <c r="L550" s="382"/>
      <c r="M550" s="382"/>
      <c r="N550" s="382"/>
      <c r="O550" s="382"/>
    </row>
    <row r="551" spans="11:15" ht="12.5">
      <c r="K551" s="382"/>
      <c r="L551" s="382"/>
      <c r="M551" s="382"/>
      <c r="N551" s="382"/>
      <c r="O551" s="382"/>
    </row>
    <row r="552" spans="11:15" ht="12.5">
      <c r="K552" s="382"/>
      <c r="L552" s="382"/>
      <c r="M552" s="382"/>
      <c r="N552" s="382"/>
      <c r="O552" s="382"/>
    </row>
    <row r="553" spans="11:15" ht="12.5">
      <c r="K553" s="382"/>
      <c r="L553" s="382"/>
      <c r="M553" s="382"/>
      <c r="N553" s="382"/>
      <c r="O553" s="382"/>
    </row>
    <row r="554" spans="11:15" ht="12.5">
      <c r="K554" s="382"/>
      <c r="L554" s="382"/>
      <c r="M554" s="382"/>
      <c r="N554" s="382"/>
      <c r="O554" s="382"/>
    </row>
    <row r="555" spans="11:15" ht="12.5">
      <c r="K555" s="382"/>
      <c r="L555" s="382"/>
      <c r="M555" s="382"/>
      <c r="N555" s="382"/>
      <c r="O555" s="382"/>
    </row>
    <row r="556" spans="11:15" ht="12.5">
      <c r="K556" s="382"/>
      <c r="L556" s="382"/>
      <c r="M556" s="382"/>
      <c r="N556" s="382"/>
      <c r="O556" s="382"/>
    </row>
    <row r="557" spans="11:15" ht="12.5">
      <c r="K557" s="382"/>
      <c r="L557" s="382"/>
      <c r="M557" s="382"/>
      <c r="N557" s="382"/>
      <c r="O557" s="382"/>
    </row>
    <row r="558" spans="11:15" ht="12.5">
      <c r="K558" s="382"/>
      <c r="L558" s="382"/>
      <c r="M558" s="382"/>
      <c r="N558" s="382"/>
      <c r="O558" s="382"/>
    </row>
    <row r="559" spans="11:15" ht="12.5">
      <c r="K559" s="382"/>
      <c r="L559" s="382"/>
      <c r="M559" s="382"/>
      <c r="N559" s="382"/>
      <c r="O559" s="382"/>
    </row>
    <row r="560" spans="11:15" ht="12.5">
      <c r="K560" s="382"/>
      <c r="L560" s="382"/>
      <c r="M560" s="382"/>
      <c r="N560" s="382"/>
      <c r="O560" s="382"/>
    </row>
    <row r="561" spans="11:15" ht="12.5">
      <c r="K561" s="382"/>
      <c r="L561" s="382"/>
      <c r="M561" s="382"/>
      <c r="N561" s="382"/>
      <c r="O561" s="382"/>
    </row>
    <row r="562" spans="11:15" ht="12.5">
      <c r="K562" s="382"/>
      <c r="L562" s="382"/>
      <c r="M562" s="382"/>
      <c r="N562" s="382"/>
      <c r="O562" s="382"/>
    </row>
    <row r="563" spans="11:15" ht="12.5">
      <c r="K563" s="382"/>
      <c r="L563" s="382"/>
      <c r="M563" s="382"/>
      <c r="N563" s="382"/>
      <c r="O563" s="382"/>
    </row>
    <row r="564" spans="11:15" ht="12.5">
      <c r="K564" s="382"/>
      <c r="L564" s="382"/>
      <c r="M564" s="382"/>
      <c r="N564" s="382"/>
      <c r="O564" s="382"/>
    </row>
    <row r="565" spans="11:15" ht="12.5">
      <c r="K565" s="382"/>
      <c r="L565" s="382"/>
      <c r="M565" s="382"/>
      <c r="N565" s="382"/>
      <c r="O565" s="382"/>
    </row>
    <row r="566" spans="11:15" ht="12.5">
      <c r="K566" s="382"/>
      <c r="L566" s="382"/>
      <c r="M566" s="382"/>
      <c r="N566" s="382"/>
      <c r="O566" s="382"/>
    </row>
    <row r="567" spans="11:15" ht="12.5">
      <c r="K567" s="382"/>
      <c r="L567" s="382"/>
      <c r="M567" s="382"/>
      <c r="N567" s="382"/>
      <c r="O567" s="382"/>
    </row>
    <row r="568" spans="11:15" ht="12.5">
      <c r="K568" s="382"/>
      <c r="L568" s="382"/>
      <c r="M568" s="382"/>
      <c r="N568" s="382"/>
      <c r="O568" s="382"/>
    </row>
    <row r="569" spans="11:15" ht="12.5">
      <c r="K569" s="382"/>
      <c r="L569" s="382"/>
      <c r="M569" s="382"/>
      <c r="N569" s="382"/>
      <c r="O569" s="382"/>
    </row>
    <row r="570" spans="11:15" ht="12.5">
      <c r="K570" s="382"/>
      <c r="L570" s="382"/>
      <c r="M570" s="382"/>
      <c r="N570" s="382"/>
      <c r="O570" s="382"/>
    </row>
    <row r="571" spans="11:15" ht="12.5">
      <c r="K571" s="382"/>
      <c r="L571" s="382"/>
      <c r="M571" s="382"/>
      <c r="N571" s="382"/>
      <c r="O571" s="382"/>
    </row>
    <row r="572" spans="11:15" ht="12.5">
      <c r="K572" s="382"/>
      <c r="L572" s="382"/>
      <c r="M572" s="382"/>
      <c r="N572" s="382"/>
      <c r="O572" s="382"/>
    </row>
    <row r="573" spans="11:15" ht="12.5">
      <c r="K573" s="382"/>
      <c r="L573" s="382"/>
      <c r="M573" s="382"/>
      <c r="N573" s="382"/>
      <c r="O573" s="382"/>
    </row>
    <row r="574" spans="11:15" ht="12.5">
      <c r="K574" s="382"/>
      <c r="L574" s="382"/>
      <c r="M574" s="382"/>
      <c r="N574" s="382"/>
      <c r="O574" s="382"/>
    </row>
    <row r="575" spans="11:15" ht="12.5">
      <c r="K575" s="382"/>
      <c r="L575" s="382"/>
      <c r="M575" s="382"/>
      <c r="N575" s="382"/>
      <c r="O575" s="382"/>
    </row>
    <row r="576" spans="11:15" ht="12.5">
      <c r="K576" s="382"/>
      <c r="L576" s="382"/>
      <c r="M576" s="382"/>
      <c r="N576" s="382"/>
      <c r="O576" s="382"/>
    </row>
    <row r="577" spans="11:15" ht="12.5">
      <c r="K577" s="382"/>
      <c r="L577" s="382"/>
      <c r="M577" s="382"/>
      <c r="N577" s="382"/>
      <c r="O577" s="382"/>
    </row>
    <row r="578" spans="11:15" ht="12.5">
      <c r="K578" s="382"/>
      <c r="L578" s="382"/>
      <c r="M578" s="382"/>
      <c r="N578" s="382"/>
      <c r="O578" s="382"/>
    </row>
    <row r="579" spans="11:15" ht="12.5">
      <c r="K579" s="382"/>
      <c r="L579" s="382"/>
      <c r="M579" s="382"/>
      <c r="N579" s="382"/>
      <c r="O579" s="382"/>
    </row>
    <row r="580" spans="11:15" ht="12.5">
      <c r="K580" s="382"/>
      <c r="L580" s="382"/>
      <c r="M580" s="382"/>
      <c r="N580" s="382"/>
      <c r="O580" s="382"/>
    </row>
    <row r="581" spans="11:15" ht="12.5">
      <c r="K581" s="382"/>
      <c r="L581" s="382"/>
      <c r="M581" s="382"/>
      <c r="N581" s="382"/>
      <c r="O581" s="382"/>
    </row>
    <row r="582" spans="11:15" ht="12.5">
      <c r="K582" s="382"/>
      <c r="L582" s="382"/>
      <c r="M582" s="382"/>
      <c r="N582" s="382"/>
      <c r="O582" s="382"/>
    </row>
    <row r="583" spans="11:15" ht="12.5">
      <c r="K583" s="382"/>
      <c r="L583" s="382"/>
      <c r="M583" s="382"/>
      <c r="N583" s="382"/>
      <c r="O583" s="382"/>
    </row>
    <row r="584" spans="11:15" ht="12.5">
      <c r="K584" s="382"/>
      <c r="L584" s="382"/>
      <c r="M584" s="382"/>
      <c r="N584" s="382"/>
      <c r="O584" s="382"/>
    </row>
    <row r="585" spans="11:15" ht="12.5">
      <c r="K585" s="382"/>
      <c r="L585" s="382"/>
      <c r="M585" s="382"/>
      <c r="N585" s="382"/>
      <c r="O585" s="382"/>
    </row>
    <row r="586" spans="11:15" ht="12.5">
      <c r="K586" s="382"/>
      <c r="L586" s="382"/>
      <c r="M586" s="382"/>
      <c r="N586" s="382"/>
      <c r="O586" s="382"/>
    </row>
    <row r="587" spans="11:15" ht="12.5">
      <c r="K587" s="382"/>
      <c r="L587" s="382"/>
      <c r="M587" s="382"/>
      <c r="N587" s="382"/>
      <c r="O587" s="382"/>
    </row>
    <row r="588" spans="11:15" ht="12.5">
      <c r="K588" s="382"/>
      <c r="L588" s="382"/>
      <c r="M588" s="382"/>
      <c r="N588" s="382"/>
      <c r="O588" s="382"/>
    </row>
    <row r="589" spans="11:15" ht="12.5">
      <c r="K589" s="382"/>
      <c r="L589" s="382"/>
      <c r="M589" s="382"/>
      <c r="N589" s="382"/>
      <c r="O589" s="382"/>
    </row>
    <row r="590" spans="11:15" ht="12.5">
      <c r="K590" s="382"/>
      <c r="L590" s="382"/>
      <c r="M590" s="382"/>
      <c r="N590" s="382"/>
      <c r="O590" s="382"/>
    </row>
    <row r="591" spans="11:15" ht="12.5">
      <c r="K591" s="382"/>
      <c r="L591" s="382"/>
      <c r="M591" s="382"/>
      <c r="N591" s="382"/>
      <c r="O591" s="382"/>
    </row>
    <row r="592" spans="11:15" ht="12.5">
      <c r="K592" s="382"/>
      <c r="L592" s="382"/>
      <c r="M592" s="382"/>
      <c r="N592" s="382"/>
      <c r="O592" s="382"/>
    </row>
    <row r="593" spans="11:15" ht="12.5">
      <c r="K593" s="382"/>
      <c r="L593" s="382"/>
      <c r="M593" s="382"/>
      <c r="N593" s="382"/>
      <c r="O593" s="382"/>
    </row>
    <row r="594" spans="11:15" ht="12.5">
      <c r="K594" s="382"/>
      <c r="L594" s="382"/>
      <c r="M594" s="382"/>
      <c r="N594" s="382"/>
      <c r="O594" s="382"/>
    </row>
    <row r="595" spans="11:15" ht="12.5">
      <c r="K595" s="382"/>
      <c r="L595" s="382"/>
      <c r="M595" s="382"/>
      <c r="N595" s="382"/>
      <c r="O595" s="382"/>
    </row>
    <row r="596" spans="11:15" ht="12.5">
      <c r="K596" s="382"/>
      <c r="L596" s="382"/>
      <c r="M596" s="382"/>
      <c r="N596" s="382"/>
      <c r="O596" s="382"/>
    </row>
    <row r="597" spans="11:15" ht="12.5">
      <c r="K597" s="382"/>
      <c r="L597" s="382"/>
      <c r="M597" s="382"/>
      <c r="N597" s="382"/>
      <c r="O597" s="382"/>
    </row>
    <row r="598" spans="11:15" ht="12.5">
      <c r="K598" s="382"/>
      <c r="L598" s="382"/>
      <c r="M598" s="382"/>
      <c r="N598" s="382"/>
      <c r="O598" s="382"/>
    </row>
    <row r="599" spans="11:15" ht="12.5">
      <c r="K599" s="382"/>
      <c r="L599" s="382"/>
      <c r="M599" s="382"/>
      <c r="N599" s="382"/>
      <c r="O599" s="382"/>
    </row>
    <row r="600" spans="11:15" ht="12.5">
      <c r="K600" s="382"/>
      <c r="L600" s="382"/>
      <c r="M600" s="382"/>
      <c r="N600" s="382"/>
      <c r="O600" s="382"/>
    </row>
    <row r="601" spans="11:15" ht="12.5">
      <c r="K601" s="382"/>
      <c r="L601" s="382"/>
      <c r="M601" s="382"/>
      <c r="N601" s="382"/>
      <c r="O601" s="382"/>
    </row>
    <row r="602" spans="11:15" ht="12.5">
      <c r="K602" s="382"/>
      <c r="L602" s="382"/>
      <c r="M602" s="382"/>
      <c r="N602" s="382"/>
      <c r="O602" s="382"/>
    </row>
    <row r="603" spans="11:15" ht="12.5">
      <c r="K603" s="382"/>
      <c r="L603" s="382"/>
      <c r="M603" s="382"/>
      <c r="N603" s="382"/>
      <c r="O603" s="382"/>
    </row>
    <row r="604" spans="11:15" ht="12.5">
      <c r="K604" s="382"/>
      <c r="L604" s="382"/>
      <c r="M604" s="382"/>
      <c r="N604" s="382"/>
      <c r="O604" s="382"/>
    </row>
    <row r="605" spans="11:15" ht="12.5">
      <c r="K605" s="382"/>
      <c r="L605" s="382"/>
      <c r="M605" s="382"/>
      <c r="N605" s="382"/>
      <c r="O605" s="382"/>
    </row>
    <row r="606" spans="11:15" ht="12.5">
      <c r="K606" s="382"/>
      <c r="L606" s="382"/>
      <c r="M606" s="382"/>
      <c r="N606" s="382"/>
      <c r="O606" s="382"/>
    </row>
    <row r="607" spans="11:15" ht="12.5">
      <c r="K607" s="382"/>
      <c r="L607" s="382"/>
      <c r="M607" s="382"/>
      <c r="N607" s="382"/>
      <c r="O607" s="382"/>
    </row>
    <row r="608" spans="11:15" ht="12.5">
      <c r="K608" s="382"/>
      <c r="L608" s="382"/>
      <c r="M608" s="382"/>
      <c r="N608" s="382"/>
      <c r="O608" s="382"/>
    </row>
    <row r="609" spans="11:15" ht="12.5">
      <c r="K609" s="382"/>
      <c r="L609" s="382"/>
      <c r="M609" s="382"/>
      <c r="N609" s="382"/>
      <c r="O609" s="382"/>
    </row>
    <row r="610" spans="11:15" ht="12.5">
      <c r="K610" s="382"/>
      <c r="L610" s="382"/>
      <c r="M610" s="382"/>
      <c r="N610" s="382"/>
      <c r="O610" s="382"/>
    </row>
    <row r="611" spans="11:15" ht="12.5">
      <c r="K611" s="382"/>
      <c r="L611" s="382"/>
      <c r="M611" s="382"/>
      <c r="N611" s="382"/>
      <c r="O611" s="382"/>
    </row>
    <row r="612" spans="11:15" ht="12.5">
      <c r="K612" s="382"/>
      <c r="L612" s="382"/>
      <c r="M612" s="382"/>
      <c r="N612" s="382"/>
      <c r="O612" s="382"/>
    </row>
    <row r="613" spans="11:15" ht="12.5">
      <c r="K613" s="382"/>
      <c r="L613" s="382"/>
      <c r="M613" s="382"/>
      <c r="N613" s="382"/>
      <c r="O613" s="382"/>
    </row>
    <row r="614" spans="11:15" ht="12.5">
      <c r="K614" s="382"/>
      <c r="L614" s="382"/>
      <c r="M614" s="382"/>
      <c r="N614" s="382"/>
      <c r="O614" s="382"/>
    </row>
    <row r="615" spans="11:15" ht="12.5">
      <c r="K615" s="382"/>
      <c r="L615" s="382"/>
      <c r="M615" s="382"/>
      <c r="N615" s="382"/>
      <c r="O615" s="382"/>
    </row>
    <row r="616" spans="11:15" ht="12.5">
      <c r="K616" s="382"/>
      <c r="L616" s="382"/>
      <c r="M616" s="382"/>
      <c r="N616" s="382"/>
      <c r="O616" s="382"/>
    </row>
    <row r="617" spans="11:15" ht="12.5">
      <c r="K617" s="382"/>
      <c r="L617" s="382"/>
      <c r="M617" s="382"/>
      <c r="N617" s="382"/>
      <c r="O617" s="382"/>
    </row>
    <row r="618" spans="11:15" ht="12.5">
      <c r="K618" s="382"/>
      <c r="L618" s="382"/>
      <c r="M618" s="382"/>
      <c r="N618" s="382"/>
      <c r="O618" s="382"/>
    </row>
    <row r="619" spans="11:15" ht="12.5">
      <c r="K619" s="382"/>
      <c r="L619" s="382"/>
      <c r="M619" s="382"/>
      <c r="N619" s="382"/>
      <c r="O619" s="382"/>
    </row>
    <row r="620" spans="11:15" ht="12.5">
      <c r="K620" s="382"/>
      <c r="L620" s="382"/>
      <c r="M620" s="382"/>
      <c r="N620" s="382"/>
      <c r="O620" s="382"/>
    </row>
    <row r="621" spans="11:15" ht="12.5">
      <c r="K621" s="382"/>
      <c r="L621" s="382"/>
      <c r="M621" s="382"/>
      <c r="N621" s="382"/>
      <c r="O621" s="382"/>
    </row>
    <row r="622" spans="11:15" ht="12.5">
      <c r="K622" s="382"/>
      <c r="L622" s="382"/>
      <c r="M622" s="382"/>
      <c r="N622" s="382"/>
      <c r="O622" s="382"/>
    </row>
    <row r="623" spans="11:15" ht="12.5">
      <c r="K623" s="382"/>
      <c r="L623" s="382"/>
      <c r="M623" s="382"/>
      <c r="N623" s="382"/>
      <c r="O623" s="382"/>
    </row>
    <row r="624" spans="11:15" ht="12.5">
      <c r="K624" s="382"/>
      <c r="L624" s="382"/>
      <c r="M624" s="382"/>
      <c r="N624" s="382"/>
      <c r="O624" s="382"/>
    </row>
    <row r="625" spans="11:15" ht="12.5">
      <c r="K625" s="382"/>
      <c r="L625" s="382"/>
      <c r="M625" s="382"/>
      <c r="N625" s="382"/>
      <c r="O625" s="382"/>
    </row>
    <row r="626" spans="11:15" ht="12.5">
      <c r="K626" s="382"/>
      <c r="L626" s="382"/>
      <c r="M626" s="382"/>
      <c r="N626" s="382"/>
      <c r="O626" s="382"/>
    </row>
    <row r="627" spans="11:15" ht="12.5">
      <c r="K627" s="382"/>
      <c r="L627" s="382"/>
      <c r="M627" s="382"/>
      <c r="N627" s="382"/>
      <c r="O627" s="382"/>
    </row>
    <row r="628" spans="11:15" ht="12.5">
      <c r="K628" s="382"/>
      <c r="L628" s="382"/>
      <c r="M628" s="382"/>
      <c r="N628" s="382"/>
      <c r="O628" s="382"/>
    </row>
    <row r="629" spans="11:15" ht="12.5">
      <c r="K629" s="382"/>
      <c r="L629" s="382"/>
      <c r="M629" s="382"/>
      <c r="N629" s="382"/>
      <c r="O629" s="382"/>
    </row>
    <row r="630" spans="11:15" ht="12.5">
      <c r="K630" s="382"/>
      <c r="L630" s="382"/>
      <c r="M630" s="382"/>
      <c r="N630" s="382"/>
      <c r="O630" s="382"/>
    </row>
    <row r="631" spans="11:15" ht="12.5">
      <c r="K631" s="382"/>
      <c r="L631" s="382"/>
      <c r="M631" s="382"/>
      <c r="N631" s="382"/>
      <c r="O631" s="382"/>
    </row>
    <row r="632" spans="11:15" ht="12.5">
      <c r="K632" s="382"/>
      <c r="L632" s="382"/>
      <c r="M632" s="382"/>
      <c r="N632" s="382"/>
      <c r="O632" s="382"/>
    </row>
    <row r="633" spans="11:15" ht="12.5">
      <c r="K633" s="382"/>
      <c r="L633" s="382"/>
      <c r="M633" s="382"/>
      <c r="N633" s="382"/>
      <c r="O633" s="382"/>
    </row>
    <row r="634" spans="11:15" ht="12.5">
      <c r="K634" s="382"/>
      <c r="L634" s="382"/>
      <c r="M634" s="382"/>
      <c r="N634" s="382"/>
      <c r="O634" s="382"/>
    </row>
    <row r="635" spans="11:15" ht="12.5">
      <c r="K635" s="382"/>
      <c r="L635" s="382"/>
      <c r="M635" s="382"/>
      <c r="N635" s="382"/>
      <c r="O635" s="382"/>
    </row>
    <row r="636" spans="11:15" ht="12.5">
      <c r="K636" s="382"/>
      <c r="L636" s="382"/>
      <c r="M636" s="382"/>
      <c r="N636" s="382"/>
      <c r="O636" s="382"/>
    </row>
    <row r="637" spans="11:15" ht="12.5">
      <c r="K637" s="382"/>
      <c r="L637" s="382"/>
      <c r="M637" s="382"/>
      <c r="N637" s="382"/>
      <c r="O637" s="382"/>
    </row>
    <row r="638" spans="11:15" ht="12.5">
      <c r="K638" s="382"/>
      <c r="L638" s="382"/>
      <c r="M638" s="382"/>
      <c r="N638" s="382"/>
      <c r="O638" s="382"/>
    </row>
    <row r="639" spans="11:15" ht="12.5">
      <c r="K639" s="382"/>
      <c r="L639" s="382"/>
      <c r="M639" s="382"/>
      <c r="N639" s="382"/>
      <c r="O639" s="382"/>
    </row>
    <row r="640" spans="11:15" ht="12.5">
      <c r="K640" s="382"/>
      <c r="L640" s="382"/>
      <c r="M640" s="382"/>
      <c r="N640" s="382"/>
      <c r="O640" s="382"/>
    </row>
    <row r="641" spans="11:15" ht="12.5">
      <c r="K641" s="382"/>
      <c r="L641" s="382"/>
      <c r="M641" s="382"/>
      <c r="N641" s="382"/>
      <c r="O641" s="382"/>
    </row>
    <row r="642" spans="11:15" ht="12.5">
      <c r="K642" s="382"/>
      <c r="L642" s="382"/>
      <c r="M642" s="382"/>
      <c r="N642" s="382"/>
      <c r="O642" s="382"/>
    </row>
    <row r="643" spans="11:15" ht="12.5">
      <c r="K643" s="382"/>
      <c r="L643" s="382"/>
      <c r="M643" s="382"/>
      <c r="N643" s="382"/>
      <c r="O643" s="382"/>
    </row>
    <row r="644" spans="11:15" ht="12.5">
      <c r="K644" s="382"/>
      <c r="L644" s="382"/>
      <c r="M644" s="382"/>
      <c r="N644" s="382"/>
      <c r="O644" s="382"/>
    </row>
    <row r="645" spans="11:15" ht="12.5">
      <c r="K645" s="382"/>
      <c r="L645" s="382"/>
      <c r="M645" s="382"/>
      <c r="N645" s="382"/>
      <c r="O645" s="382"/>
    </row>
    <row r="646" spans="11:15" ht="12.5">
      <c r="K646" s="382"/>
      <c r="L646" s="382"/>
      <c r="M646" s="382"/>
      <c r="N646" s="382"/>
      <c r="O646" s="382"/>
    </row>
    <row r="647" spans="11:15" ht="12.5">
      <c r="K647" s="382"/>
      <c r="L647" s="382"/>
      <c r="M647" s="382"/>
      <c r="N647" s="382"/>
      <c r="O647" s="382"/>
    </row>
    <row r="648" spans="11:15" ht="12.5">
      <c r="K648" s="382"/>
      <c r="L648" s="382"/>
      <c r="M648" s="382"/>
      <c r="N648" s="382"/>
      <c r="O648" s="382"/>
    </row>
    <row r="649" spans="11:15" ht="12.5">
      <c r="K649" s="382"/>
      <c r="L649" s="382"/>
      <c r="M649" s="382"/>
      <c r="N649" s="382"/>
      <c r="O649" s="382"/>
    </row>
    <row r="650" spans="11:15" ht="12.5">
      <c r="K650" s="382"/>
      <c r="L650" s="382"/>
      <c r="M650" s="382"/>
      <c r="N650" s="382"/>
      <c r="O650" s="382"/>
    </row>
    <row r="651" spans="11:15" ht="12.5">
      <c r="K651" s="382"/>
      <c r="L651" s="382"/>
      <c r="M651" s="382"/>
      <c r="N651" s="382"/>
      <c r="O651" s="382"/>
    </row>
    <row r="652" spans="11:15" ht="12.5">
      <c r="K652" s="382"/>
      <c r="L652" s="382"/>
      <c r="M652" s="382"/>
      <c r="N652" s="382"/>
      <c r="O652" s="382"/>
    </row>
    <row r="653" spans="11:15" ht="12.5">
      <c r="K653" s="382"/>
      <c r="L653" s="382"/>
      <c r="M653" s="382"/>
      <c r="N653" s="382"/>
      <c r="O653" s="382"/>
    </row>
    <row r="654" spans="11:15" ht="12.5">
      <c r="K654" s="382"/>
      <c r="L654" s="382"/>
      <c r="M654" s="382"/>
      <c r="N654" s="382"/>
      <c r="O654" s="382"/>
    </row>
    <row r="655" spans="11:15" ht="12.5">
      <c r="K655" s="382"/>
      <c r="L655" s="382"/>
      <c r="M655" s="382"/>
      <c r="N655" s="382"/>
      <c r="O655" s="382"/>
    </row>
    <row r="656" spans="11:15" ht="12.5">
      <c r="K656" s="382"/>
      <c r="L656" s="382"/>
      <c r="M656" s="382"/>
      <c r="N656" s="382"/>
      <c r="O656" s="382"/>
    </row>
    <row r="657" spans="11:15" ht="12.5">
      <c r="K657" s="382"/>
      <c r="L657" s="382"/>
      <c r="M657" s="382"/>
      <c r="N657" s="382"/>
      <c r="O657" s="382"/>
    </row>
    <row r="658" spans="11:15" ht="12.5">
      <c r="K658" s="382"/>
      <c r="L658" s="382"/>
      <c r="M658" s="382"/>
      <c r="N658" s="382"/>
      <c r="O658" s="382"/>
    </row>
    <row r="659" spans="11:15" ht="12.5">
      <c r="K659" s="382"/>
      <c r="L659" s="382"/>
      <c r="M659" s="382"/>
      <c r="N659" s="382"/>
      <c r="O659" s="382"/>
    </row>
    <row r="660" spans="11:15" ht="12.5">
      <c r="K660" s="382"/>
      <c r="L660" s="382"/>
      <c r="M660" s="382"/>
      <c r="N660" s="382"/>
      <c r="O660" s="382"/>
    </row>
    <row r="661" spans="11:15" ht="12.5">
      <c r="K661" s="382"/>
      <c r="L661" s="382"/>
      <c r="M661" s="382"/>
      <c r="N661" s="382"/>
      <c r="O661" s="382"/>
    </row>
    <row r="662" spans="11:15" ht="12.5">
      <c r="K662" s="382"/>
      <c r="L662" s="382"/>
      <c r="M662" s="382"/>
      <c r="N662" s="382"/>
      <c r="O662" s="382"/>
    </row>
    <row r="663" spans="11:15" ht="12.5">
      <c r="K663" s="382"/>
      <c r="L663" s="382"/>
      <c r="M663" s="382"/>
      <c r="N663" s="382"/>
      <c r="O663" s="382"/>
    </row>
    <row r="664" spans="11:15" ht="12.5">
      <c r="K664" s="382"/>
      <c r="L664" s="382"/>
      <c r="M664" s="382"/>
      <c r="N664" s="382"/>
      <c r="O664" s="382"/>
    </row>
    <row r="665" spans="11:15" ht="12.5">
      <c r="K665" s="382"/>
      <c r="L665" s="382"/>
      <c r="M665" s="382"/>
      <c r="N665" s="382"/>
      <c r="O665" s="382"/>
    </row>
    <row r="666" spans="11:15" ht="12.5">
      <c r="K666" s="382"/>
      <c r="L666" s="382"/>
      <c r="M666" s="382"/>
      <c r="N666" s="382"/>
      <c r="O666" s="382"/>
    </row>
    <row r="667" spans="11:15" ht="12.5">
      <c r="K667" s="382"/>
      <c r="L667" s="382"/>
      <c r="M667" s="382"/>
      <c r="N667" s="382"/>
      <c r="O667" s="382"/>
    </row>
    <row r="668" spans="11:15" ht="12.5">
      <c r="K668" s="382"/>
      <c r="L668" s="382"/>
      <c r="M668" s="382"/>
      <c r="N668" s="382"/>
      <c r="O668" s="382"/>
    </row>
    <row r="669" spans="11:15" ht="12.5">
      <c r="K669" s="382"/>
      <c r="L669" s="382"/>
      <c r="M669" s="382"/>
      <c r="N669" s="382"/>
      <c r="O669" s="382"/>
    </row>
    <row r="670" spans="11:15" ht="12.5">
      <c r="K670" s="382"/>
      <c r="L670" s="382"/>
      <c r="M670" s="382"/>
      <c r="N670" s="382"/>
      <c r="O670" s="382"/>
    </row>
    <row r="671" spans="11:15" ht="12.5">
      <c r="K671" s="382"/>
      <c r="L671" s="382"/>
      <c r="M671" s="382"/>
      <c r="N671" s="382"/>
      <c r="O671" s="382"/>
    </row>
    <row r="672" spans="11:15" ht="12.5">
      <c r="K672" s="382"/>
      <c r="L672" s="382"/>
      <c r="M672" s="382"/>
      <c r="N672" s="382"/>
      <c r="O672" s="382"/>
    </row>
    <row r="673" spans="11:15" ht="12.5">
      <c r="K673" s="382"/>
      <c r="L673" s="382"/>
      <c r="M673" s="382"/>
      <c r="N673" s="382"/>
      <c r="O673" s="382"/>
    </row>
    <row r="674" spans="11:15" ht="12.5">
      <c r="K674" s="382"/>
      <c r="L674" s="382"/>
      <c r="M674" s="382"/>
      <c r="N674" s="382"/>
      <c r="O674" s="382"/>
    </row>
    <row r="675" spans="11:15" ht="12.5">
      <c r="K675" s="382"/>
      <c r="L675" s="382"/>
      <c r="M675" s="382"/>
      <c r="N675" s="382"/>
      <c r="O675" s="382"/>
    </row>
    <row r="676" spans="11:15" ht="12.5">
      <c r="K676" s="382"/>
      <c r="L676" s="382"/>
      <c r="M676" s="382"/>
      <c r="N676" s="382"/>
      <c r="O676" s="382"/>
    </row>
    <row r="677" spans="11:15" ht="12.5">
      <c r="K677" s="382"/>
      <c r="L677" s="382"/>
      <c r="M677" s="382"/>
      <c r="N677" s="382"/>
      <c r="O677" s="382"/>
    </row>
    <row r="678" spans="11:15" ht="12.5">
      <c r="K678" s="382"/>
      <c r="L678" s="382"/>
      <c r="M678" s="382"/>
      <c r="N678" s="382"/>
      <c r="O678" s="382"/>
    </row>
    <row r="679" spans="11:15" ht="12.5">
      <c r="K679" s="382"/>
      <c r="L679" s="382"/>
      <c r="M679" s="382"/>
      <c r="N679" s="382"/>
      <c r="O679" s="382"/>
    </row>
    <row r="680" spans="11:15" ht="12.5">
      <c r="K680" s="382"/>
      <c r="L680" s="382"/>
      <c r="M680" s="382"/>
      <c r="N680" s="382"/>
      <c r="O680" s="382"/>
    </row>
    <row r="681" spans="11:15" ht="12.5">
      <c r="K681" s="382"/>
      <c r="L681" s="382"/>
      <c r="M681" s="382"/>
      <c r="N681" s="382"/>
      <c r="O681" s="382"/>
    </row>
    <row r="682" spans="11:15" ht="12.5">
      <c r="K682" s="382"/>
      <c r="L682" s="382"/>
      <c r="M682" s="382"/>
      <c r="N682" s="382"/>
      <c r="O682" s="382"/>
    </row>
    <row r="683" spans="11:15" ht="12.5">
      <c r="K683" s="382"/>
      <c r="L683" s="382"/>
      <c r="M683" s="382"/>
      <c r="N683" s="382"/>
      <c r="O683" s="382"/>
    </row>
    <row r="684" spans="11:15" ht="12.5">
      <c r="K684" s="382"/>
      <c r="L684" s="382"/>
      <c r="M684" s="382"/>
      <c r="N684" s="382"/>
      <c r="O684" s="382"/>
    </row>
    <row r="685" spans="11:15" ht="12.5">
      <c r="K685" s="382"/>
      <c r="L685" s="382"/>
      <c r="M685" s="382"/>
      <c r="N685" s="382"/>
      <c r="O685" s="382"/>
    </row>
    <row r="686" spans="11:15" ht="12.5">
      <c r="K686" s="382"/>
      <c r="L686" s="382"/>
      <c r="M686" s="382"/>
      <c r="N686" s="382"/>
      <c r="O686" s="382"/>
    </row>
    <row r="687" spans="11:15" ht="12.5">
      <c r="K687" s="382"/>
      <c r="L687" s="382"/>
      <c r="M687" s="382"/>
      <c r="N687" s="382"/>
      <c r="O687" s="382"/>
    </row>
    <row r="688" spans="11:15" ht="12.5">
      <c r="K688" s="382"/>
      <c r="L688" s="382"/>
      <c r="M688" s="382"/>
      <c r="N688" s="382"/>
      <c r="O688" s="382"/>
    </row>
    <row r="689" spans="11:15" ht="12.5">
      <c r="K689" s="382"/>
      <c r="L689" s="382"/>
      <c r="M689" s="382"/>
      <c r="N689" s="382"/>
      <c r="O689" s="382"/>
    </row>
    <row r="690" spans="11:15" ht="12.5">
      <c r="K690" s="382"/>
      <c r="L690" s="382"/>
      <c r="M690" s="382"/>
      <c r="N690" s="382"/>
      <c r="O690" s="382"/>
    </row>
    <row r="691" spans="11:15" ht="12.5">
      <c r="K691" s="382"/>
      <c r="L691" s="382"/>
      <c r="M691" s="382"/>
      <c r="N691" s="382"/>
      <c r="O691" s="382"/>
    </row>
    <row r="692" spans="11:15" ht="12.5">
      <c r="K692" s="382"/>
      <c r="L692" s="382"/>
      <c r="M692" s="382"/>
      <c r="N692" s="382"/>
      <c r="O692" s="382"/>
    </row>
    <row r="693" spans="11:15" ht="12.5">
      <c r="K693" s="382"/>
      <c r="L693" s="382"/>
      <c r="M693" s="382"/>
      <c r="N693" s="382"/>
      <c r="O693" s="382"/>
    </row>
    <row r="694" spans="11:15" ht="12.5">
      <c r="K694" s="382"/>
      <c r="L694" s="382"/>
      <c r="M694" s="382"/>
      <c r="N694" s="382"/>
      <c r="O694" s="382"/>
    </row>
    <row r="695" spans="11:15" ht="12.5">
      <c r="K695" s="382"/>
      <c r="L695" s="382"/>
      <c r="M695" s="382"/>
      <c r="N695" s="382"/>
      <c r="O695" s="382"/>
    </row>
    <row r="696" spans="11:15" ht="12.5">
      <c r="K696" s="382"/>
      <c r="L696" s="382"/>
      <c r="M696" s="382"/>
      <c r="N696" s="382"/>
      <c r="O696" s="382"/>
    </row>
    <row r="697" spans="11:15" ht="12.5">
      <c r="K697" s="382"/>
      <c r="L697" s="382"/>
      <c r="M697" s="382"/>
      <c r="N697" s="382"/>
      <c r="O697" s="382"/>
    </row>
    <row r="698" spans="11:15" ht="12.5">
      <c r="K698" s="382"/>
      <c r="L698" s="382"/>
      <c r="M698" s="382"/>
      <c r="N698" s="382"/>
      <c r="O698" s="382"/>
    </row>
    <row r="699" spans="11:15" ht="12.5">
      <c r="K699" s="382"/>
      <c r="L699" s="382"/>
      <c r="M699" s="382"/>
      <c r="N699" s="382"/>
      <c r="O699" s="382"/>
    </row>
    <row r="700" spans="11:15" ht="12.5">
      <c r="K700" s="382"/>
      <c r="L700" s="382"/>
      <c r="M700" s="382"/>
      <c r="N700" s="382"/>
      <c r="O700" s="382"/>
    </row>
    <row r="701" spans="11:15" ht="12.5">
      <c r="K701" s="382"/>
      <c r="L701" s="382"/>
      <c r="M701" s="382"/>
      <c r="N701" s="382"/>
      <c r="O701" s="382"/>
    </row>
    <row r="702" spans="11:15" ht="12.5">
      <c r="K702" s="382"/>
      <c r="L702" s="382"/>
      <c r="M702" s="382"/>
      <c r="N702" s="382"/>
      <c r="O702" s="382"/>
    </row>
    <row r="703" spans="11:15" ht="12.5">
      <c r="K703" s="382"/>
      <c r="L703" s="382"/>
      <c r="M703" s="382"/>
      <c r="N703" s="382"/>
      <c r="O703" s="382"/>
    </row>
    <row r="704" spans="11:15" ht="12.5">
      <c r="K704" s="382"/>
      <c r="L704" s="382"/>
      <c r="M704" s="382"/>
      <c r="N704" s="382"/>
      <c r="O704" s="382"/>
    </row>
    <row r="705" spans="11:15" ht="12.5">
      <c r="K705" s="382"/>
      <c r="L705" s="382"/>
      <c r="M705" s="382"/>
      <c r="N705" s="382"/>
      <c r="O705" s="382"/>
    </row>
    <row r="706" spans="11:15" ht="12.5">
      <c r="K706" s="382"/>
      <c r="L706" s="382"/>
      <c r="M706" s="382"/>
      <c r="N706" s="382"/>
      <c r="O706" s="382"/>
    </row>
    <row r="707" spans="11:15" ht="12.5">
      <c r="K707" s="382"/>
      <c r="L707" s="382"/>
      <c r="M707" s="382"/>
      <c r="N707" s="382"/>
      <c r="O707" s="382"/>
    </row>
    <row r="708" spans="11:15" ht="12.5">
      <c r="K708" s="382"/>
      <c r="L708" s="382"/>
      <c r="M708" s="382"/>
      <c r="N708" s="382"/>
      <c r="O708" s="382"/>
    </row>
    <row r="709" spans="11:15" ht="12.5">
      <c r="K709" s="382"/>
      <c r="L709" s="382"/>
      <c r="M709" s="382"/>
      <c r="N709" s="382"/>
      <c r="O709" s="382"/>
    </row>
    <row r="710" spans="11:15" ht="12.5">
      <c r="K710" s="382"/>
      <c r="L710" s="382"/>
      <c r="M710" s="382"/>
      <c r="N710" s="382"/>
      <c r="O710" s="382"/>
    </row>
    <row r="711" spans="11:15" ht="12.5">
      <c r="K711" s="382"/>
      <c r="L711" s="382"/>
      <c r="M711" s="382"/>
      <c r="N711" s="382"/>
      <c r="O711" s="382"/>
    </row>
    <row r="712" spans="11:15" ht="12.5">
      <c r="K712" s="382"/>
      <c r="L712" s="382"/>
      <c r="M712" s="382"/>
      <c r="N712" s="382"/>
      <c r="O712" s="382"/>
    </row>
    <row r="713" spans="11:15" ht="12.5">
      <c r="K713" s="382"/>
      <c r="L713" s="382"/>
      <c r="M713" s="382"/>
      <c r="N713" s="382"/>
      <c r="O713" s="382"/>
    </row>
    <row r="714" spans="11:15" ht="12.5">
      <c r="K714" s="382"/>
      <c r="L714" s="382"/>
      <c r="M714" s="382"/>
      <c r="N714" s="382"/>
      <c r="O714" s="382"/>
    </row>
    <row r="715" spans="11:15" ht="12.5">
      <c r="K715" s="382"/>
      <c r="L715" s="382"/>
      <c r="M715" s="382"/>
      <c r="N715" s="382"/>
      <c r="O715" s="382"/>
    </row>
    <row r="716" spans="11:15" ht="12.5">
      <c r="K716" s="382"/>
      <c r="L716" s="382"/>
      <c r="M716" s="382"/>
      <c r="N716" s="382"/>
      <c r="O716" s="382"/>
    </row>
    <row r="717" spans="11:15" ht="12.5">
      <c r="K717" s="382"/>
      <c r="L717" s="382"/>
      <c r="M717" s="382"/>
      <c r="N717" s="382"/>
      <c r="O717" s="382"/>
    </row>
    <row r="718" spans="11:15" ht="12.5">
      <c r="K718" s="382"/>
      <c r="L718" s="382"/>
      <c r="M718" s="382"/>
      <c r="N718" s="382"/>
      <c r="O718" s="382"/>
    </row>
    <row r="719" spans="11:15" ht="12.5">
      <c r="K719" s="382"/>
      <c r="L719" s="382"/>
      <c r="M719" s="382"/>
      <c r="N719" s="382"/>
      <c r="O719" s="382"/>
    </row>
    <row r="720" spans="11:15" ht="12.5">
      <c r="K720" s="382"/>
      <c r="L720" s="382"/>
      <c r="M720" s="382"/>
      <c r="N720" s="382"/>
      <c r="O720" s="382"/>
    </row>
    <row r="721" spans="11:15" ht="12.5">
      <c r="K721" s="382"/>
      <c r="L721" s="382"/>
      <c r="M721" s="382"/>
      <c r="N721" s="382"/>
      <c r="O721" s="382"/>
    </row>
    <row r="722" spans="11:15" ht="12.5">
      <c r="K722" s="382"/>
      <c r="L722" s="382"/>
      <c r="M722" s="382"/>
      <c r="N722" s="382"/>
      <c r="O722" s="382"/>
    </row>
    <row r="723" spans="11:15" ht="12.5">
      <c r="K723" s="382"/>
      <c r="L723" s="382"/>
      <c r="M723" s="382"/>
      <c r="N723" s="382"/>
      <c r="O723" s="382"/>
    </row>
    <row r="724" spans="11:15" ht="12.5">
      <c r="K724" s="382"/>
      <c r="L724" s="382"/>
      <c r="M724" s="382"/>
      <c r="N724" s="382"/>
      <c r="O724" s="382"/>
    </row>
    <row r="725" spans="11:15" ht="12.5">
      <c r="K725" s="382"/>
      <c r="L725" s="382"/>
      <c r="M725" s="382"/>
      <c r="N725" s="382"/>
      <c r="O725" s="382"/>
    </row>
    <row r="726" spans="11:15" ht="12.5">
      <c r="K726" s="382"/>
      <c r="L726" s="382"/>
      <c r="M726" s="382"/>
      <c r="N726" s="382"/>
      <c r="O726" s="382"/>
    </row>
    <row r="727" spans="11:15" ht="12.5">
      <c r="K727" s="382"/>
      <c r="L727" s="382"/>
      <c r="M727" s="382"/>
      <c r="N727" s="382"/>
      <c r="O727" s="382"/>
    </row>
    <row r="728" spans="11:15" ht="12.5">
      <c r="K728" s="382"/>
      <c r="L728" s="382"/>
      <c r="M728" s="382"/>
      <c r="N728" s="382"/>
      <c r="O728" s="382"/>
    </row>
    <row r="729" spans="11:15" ht="12.5">
      <c r="K729" s="382"/>
      <c r="L729" s="382"/>
      <c r="M729" s="382"/>
      <c r="N729" s="382"/>
      <c r="O729" s="382"/>
    </row>
    <row r="730" spans="11:15" ht="12.5">
      <c r="K730" s="382"/>
      <c r="L730" s="382"/>
      <c r="M730" s="382"/>
      <c r="N730" s="382"/>
      <c r="O730" s="382"/>
    </row>
    <row r="731" spans="11:15" ht="12.5">
      <c r="K731" s="382"/>
      <c r="L731" s="382"/>
      <c r="M731" s="382"/>
      <c r="N731" s="382"/>
      <c r="O731" s="382"/>
    </row>
    <row r="732" spans="11:15" ht="12.5">
      <c r="K732" s="382"/>
      <c r="L732" s="382"/>
      <c r="M732" s="382"/>
      <c r="N732" s="382"/>
      <c r="O732" s="382"/>
    </row>
    <row r="733" spans="11:15" ht="12.5">
      <c r="K733" s="382"/>
      <c r="L733" s="382"/>
      <c r="M733" s="382"/>
      <c r="N733" s="382"/>
      <c r="O733" s="382"/>
    </row>
    <row r="734" spans="11:15" ht="12.5">
      <c r="K734" s="382"/>
      <c r="L734" s="382"/>
      <c r="M734" s="382"/>
      <c r="N734" s="382"/>
      <c r="O734" s="382"/>
    </row>
    <row r="735" spans="11:15" ht="12.5">
      <c r="K735" s="382"/>
      <c r="L735" s="382"/>
      <c r="M735" s="382"/>
      <c r="N735" s="382"/>
      <c r="O735" s="382"/>
    </row>
    <row r="736" spans="11:15" ht="12.5">
      <c r="K736" s="382"/>
      <c r="L736" s="382"/>
      <c r="M736" s="382"/>
      <c r="N736" s="382"/>
      <c r="O736" s="382"/>
    </row>
    <row r="737" spans="11:15" ht="12.5">
      <c r="K737" s="382"/>
      <c r="L737" s="382"/>
      <c r="M737" s="382"/>
      <c r="N737" s="382"/>
      <c r="O737" s="382"/>
    </row>
    <row r="738" spans="11:15" ht="12.5">
      <c r="K738" s="382"/>
      <c r="L738" s="382"/>
      <c r="M738" s="382"/>
      <c r="N738" s="382"/>
      <c r="O738" s="382"/>
    </row>
    <row r="739" spans="11:15" ht="12.5">
      <c r="K739" s="382"/>
      <c r="L739" s="382"/>
      <c r="M739" s="382"/>
      <c r="N739" s="382"/>
      <c r="O739" s="382"/>
    </row>
    <row r="740" spans="11:15" ht="12.5">
      <c r="K740" s="382"/>
      <c r="L740" s="382"/>
      <c r="M740" s="382"/>
      <c r="N740" s="382"/>
      <c r="O740" s="382"/>
    </row>
    <row r="741" spans="11:15" ht="12.5">
      <c r="K741" s="382"/>
      <c r="L741" s="382"/>
      <c r="M741" s="382"/>
      <c r="N741" s="382"/>
      <c r="O741" s="382"/>
    </row>
    <row r="742" spans="11:15" ht="12.5">
      <c r="K742" s="382"/>
      <c r="L742" s="382"/>
      <c r="M742" s="382"/>
      <c r="N742" s="382"/>
      <c r="O742" s="382"/>
    </row>
    <row r="743" spans="11:15" ht="12.5">
      <c r="K743" s="382"/>
      <c r="L743" s="382"/>
      <c r="M743" s="382"/>
      <c r="N743" s="382"/>
      <c r="O743" s="382"/>
    </row>
    <row r="744" spans="11:15" ht="12.5">
      <c r="K744" s="382"/>
      <c r="L744" s="382"/>
      <c r="M744" s="382"/>
      <c r="N744" s="382"/>
      <c r="O744" s="382"/>
    </row>
    <row r="745" spans="11:15" ht="12.5">
      <c r="K745" s="382"/>
      <c r="L745" s="382"/>
      <c r="M745" s="382"/>
      <c r="N745" s="382"/>
      <c r="O745" s="382"/>
    </row>
    <row r="746" spans="11:15" ht="12.5">
      <c r="K746" s="382"/>
      <c r="L746" s="382"/>
      <c r="M746" s="382"/>
      <c r="N746" s="382"/>
      <c r="O746" s="382"/>
    </row>
    <row r="747" spans="11:15" ht="12.5">
      <c r="K747" s="382"/>
      <c r="L747" s="382"/>
      <c r="M747" s="382"/>
      <c r="N747" s="382"/>
      <c r="O747" s="382"/>
    </row>
    <row r="748" spans="11:15" ht="12.5">
      <c r="K748" s="382"/>
      <c r="L748" s="382"/>
      <c r="M748" s="382"/>
      <c r="N748" s="382"/>
      <c r="O748" s="382"/>
    </row>
    <row r="749" spans="11:15" ht="12.5">
      <c r="K749" s="382"/>
      <c r="L749" s="382"/>
      <c r="M749" s="382"/>
      <c r="N749" s="382"/>
      <c r="O749" s="382"/>
    </row>
    <row r="750" spans="11:15" ht="12.5">
      <c r="K750" s="382"/>
      <c r="L750" s="382"/>
      <c r="M750" s="382"/>
      <c r="N750" s="382"/>
      <c r="O750" s="382"/>
    </row>
    <row r="751" spans="11:15" ht="12.5">
      <c r="K751" s="382"/>
      <c r="L751" s="382"/>
      <c r="M751" s="382"/>
      <c r="N751" s="382"/>
      <c r="O751" s="382"/>
    </row>
    <row r="752" spans="11:15" ht="12.5">
      <c r="K752" s="382"/>
      <c r="L752" s="382"/>
      <c r="M752" s="382"/>
      <c r="N752" s="382"/>
      <c r="O752" s="382"/>
    </row>
    <row r="753" spans="11:15" ht="12.5">
      <c r="K753" s="382"/>
      <c r="L753" s="382"/>
      <c r="M753" s="382"/>
      <c r="N753" s="382"/>
      <c r="O753" s="382"/>
    </row>
    <row r="754" spans="11:15" ht="12.5">
      <c r="K754" s="382"/>
      <c r="L754" s="382"/>
      <c r="M754" s="382"/>
      <c r="N754" s="382"/>
      <c r="O754" s="382"/>
    </row>
    <row r="755" spans="11:15" ht="12.5">
      <c r="K755" s="382"/>
      <c r="L755" s="382"/>
      <c r="M755" s="382"/>
      <c r="N755" s="382"/>
      <c r="O755" s="382"/>
    </row>
    <row r="756" spans="11:15" ht="12.5">
      <c r="K756" s="382"/>
      <c r="L756" s="382"/>
      <c r="M756" s="382"/>
      <c r="N756" s="382"/>
      <c r="O756" s="382"/>
    </row>
    <row r="757" spans="11:15" ht="12.5">
      <c r="K757" s="382"/>
      <c r="L757" s="382"/>
      <c r="M757" s="382"/>
      <c r="N757" s="382"/>
      <c r="O757" s="382"/>
    </row>
    <row r="758" spans="11:15" ht="12.5">
      <c r="K758" s="382"/>
      <c r="L758" s="382"/>
      <c r="M758" s="382"/>
      <c r="N758" s="382"/>
      <c r="O758" s="382"/>
    </row>
    <row r="759" spans="11:15" ht="12.5">
      <c r="K759" s="382"/>
      <c r="L759" s="382"/>
      <c r="M759" s="382"/>
      <c r="N759" s="382"/>
      <c r="O759" s="382"/>
    </row>
    <row r="760" spans="11:15" ht="12.5">
      <c r="K760" s="382"/>
      <c r="L760" s="382"/>
      <c r="M760" s="382"/>
      <c r="N760" s="382"/>
      <c r="O760" s="382"/>
    </row>
    <row r="761" spans="11:15" ht="12.5">
      <c r="K761" s="382"/>
      <c r="L761" s="382"/>
      <c r="M761" s="382"/>
      <c r="N761" s="382"/>
      <c r="O761" s="382"/>
    </row>
    <row r="762" spans="11:15" ht="12.5">
      <c r="K762" s="382"/>
      <c r="L762" s="382"/>
      <c r="M762" s="382"/>
      <c r="N762" s="382"/>
      <c r="O762" s="382"/>
    </row>
    <row r="763" spans="11:15" ht="12.5">
      <c r="K763" s="382"/>
      <c r="L763" s="382"/>
      <c r="M763" s="382"/>
      <c r="N763" s="382"/>
      <c r="O763" s="382"/>
    </row>
    <row r="764" spans="11:15" ht="12.5">
      <c r="K764" s="382"/>
      <c r="L764" s="382"/>
      <c r="M764" s="382"/>
      <c r="N764" s="382"/>
      <c r="O764" s="382"/>
    </row>
    <row r="765" spans="11:15" ht="12.5">
      <c r="K765" s="382"/>
      <c r="L765" s="382"/>
      <c r="M765" s="382"/>
      <c r="N765" s="382"/>
      <c r="O765" s="382"/>
    </row>
    <row r="766" spans="11:15" ht="12.5">
      <c r="K766" s="382"/>
      <c r="L766" s="382"/>
      <c r="M766" s="382"/>
      <c r="N766" s="382"/>
      <c r="O766" s="382"/>
    </row>
    <row r="767" spans="11:15" ht="12.5">
      <c r="K767" s="382"/>
      <c r="L767" s="382"/>
      <c r="M767" s="382"/>
      <c r="N767" s="382"/>
      <c r="O767" s="382"/>
    </row>
    <row r="768" spans="11:15" ht="12.5">
      <c r="K768" s="382"/>
      <c r="L768" s="382"/>
      <c r="M768" s="382"/>
      <c r="N768" s="382"/>
      <c r="O768" s="382"/>
    </row>
    <row r="769" spans="11:15" ht="12.5">
      <c r="K769" s="382"/>
      <c r="L769" s="382"/>
      <c r="M769" s="382"/>
      <c r="N769" s="382"/>
      <c r="O769" s="382"/>
    </row>
    <row r="770" spans="11:15" ht="12.5">
      <c r="K770" s="382"/>
      <c r="L770" s="382"/>
      <c r="M770" s="382"/>
      <c r="N770" s="382"/>
      <c r="O770" s="382"/>
    </row>
    <row r="771" spans="11:15" ht="12.5">
      <c r="K771" s="382"/>
      <c r="L771" s="382"/>
      <c r="M771" s="382"/>
      <c r="N771" s="382"/>
      <c r="O771" s="382"/>
    </row>
    <row r="772" spans="11:15" ht="12.5">
      <c r="K772" s="382"/>
      <c r="L772" s="382"/>
      <c r="M772" s="382"/>
      <c r="N772" s="382"/>
      <c r="O772" s="382"/>
    </row>
    <row r="773" spans="11:15" ht="12.5">
      <c r="K773" s="382"/>
      <c r="L773" s="382"/>
      <c r="M773" s="382"/>
      <c r="N773" s="382"/>
      <c r="O773" s="382"/>
    </row>
    <row r="774" spans="11:15" ht="12.5">
      <c r="K774" s="382"/>
      <c r="L774" s="382"/>
      <c r="M774" s="382"/>
      <c r="N774" s="382"/>
      <c r="O774" s="382"/>
    </row>
    <row r="775" spans="11:15" ht="12.5">
      <c r="K775" s="382"/>
      <c r="L775" s="382"/>
      <c r="M775" s="382"/>
      <c r="N775" s="382"/>
      <c r="O775" s="382"/>
    </row>
    <row r="776" spans="11:15" ht="12.5">
      <c r="K776" s="382"/>
      <c r="L776" s="382"/>
      <c r="M776" s="382"/>
      <c r="N776" s="382"/>
      <c r="O776" s="382"/>
    </row>
    <row r="777" spans="11:15" ht="12.5">
      <c r="K777" s="382"/>
      <c r="L777" s="382"/>
      <c r="M777" s="382"/>
      <c r="N777" s="382"/>
      <c r="O777" s="382"/>
    </row>
    <row r="778" spans="11:15" ht="12.5">
      <c r="K778" s="382"/>
      <c r="L778" s="382"/>
      <c r="M778" s="382"/>
      <c r="N778" s="382"/>
      <c r="O778" s="382"/>
    </row>
    <row r="779" spans="11:15" ht="12.5">
      <c r="K779" s="382"/>
      <c r="L779" s="382"/>
      <c r="M779" s="382"/>
      <c r="N779" s="382"/>
      <c r="O779" s="382"/>
    </row>
    <row r="780" spans="11:15" ht="12.5">
      <c r="K780" s="382"/>
      <c r="L780" s="382"/>
      <c r="M780" s="382"/>
      <c r="N780" s="382"/>
      <c r="O780" s="382"/>
    </row>
    <row r="781" spans="11:15" ht="12.5">
      <c r="K781" s="382"/>
      <c r="L781" s="382"/>
      <c r="M781" s="382"/>
      <c r="N781" s="382"/>
      <c r="O781" s="382"/>
    </row>
    <row r="782" spans="11:15" ht="12.5">
      <c r="K782" s="382"/>
      <c r="L782" s="382"/>
      <c r="M782" s="382"/>
      <c r="N782" s="382"/>
      <c r="O782" s="382"/>
    </row>
    <row r="783" spans="11:15" ht="12.5">
      <c r="K783" s="382"/>
      <c r="L783" s="382"/>
      <c r="M783" s="382"/>
      <c r="N783" s="382"/>
      <c r="O783" s="382"/>
    </row>
    <row r="784" spans="11:15" ht="12.5">
      <c r="K784" s="382"/>
      <c r="L784" s="382"/>
      <c r="M784" s="382"/>
      <c r="N784" s="382"/>
      <c r="O784" s="382"/>
    </row>
    <row r="785" spans="11:15" ht="12.5">
      <c r="K785" s="382"/>
      <c r="L785" s="382"/>
      <c r="M785" s="382"/>
      <c r="N785" s="382"/>
      <c r="O785" s="382"/>
    </row>
    <row r="786" spans="11:15" ht="12.5">
      <c r="K786" s="382"/>
      <c r="L786" s="382"/>
      <c r="M786" s="382"/>
      <c r="N786" s="382"/>
      <c r="O786" s="382"/>
    </row>
    <row r="787" spans="11:15" ht="12.5">
      <c r="K787" s="382"/>
      <c r="L787" s="382"/>
      <c r="M787" s="382"/>
      <c r="N787" s="382"/>
      <c r="O787" s="382"/>
    </row>
    <row r="788" spans="11:15" ht="12.5">
      <c r="K788" s="382"/>
      <c r="L788" s="382"/>
      <c r="M788" s="382"/>
      <c r="N788" s="382"/>
      <c r="O788" s="382"/>
    </row>
    <row r="789" spans="11:15" ht="12.5">
      <c r="K789" s="382"/>
      <c r="L789" s="382"/>
      <c r="M789" s="382"/>
      <c r="N789" s="382"/>
      <c r="O789" s="382"/>
    </row>
    <row r="790" spans="11:15" ht="12.5">
      <c r="K790" s="382"/>
      <c r="L790" s="382"/>
      <c r="M790" s="382"/>
      <c r="N790" s="382"/>
      <c r="O790" s="382"/>
    </row>
    <row r="791" spans="11:15" ht="12.5">
      <c r="K791" s="382"/>
      <c r="L791" s="382"/>
      <c r="M791" s="382"/>
      <c r="N791" s="382"/>
      <c r="O791" s="382"/>
    </row>
    <row r="792" spans="11:15" ht="12.5">
      <c r="K792" s="382"/>
      <c r="L792" s="382"/>
      <c r="M792" s="382"/>
      <c r="N792" s="382"/>
      <c r="O792" s="382"/>
    </row>
    <row r="793" spans="11:15" ht="12.5">
      <c r="K793" s="382"/>
      <c r="L793" s="382"/>
      <c r="M793" s="382"/>
      <c r="N793" s="382"/>
      <c r="O793" s="382"/>
    </row>
    <row r="794" spans="11:15" ht="12.5">
      <c r="K794" s="382"/>
      <c r="L794" s="382"/>
      <c r="M794" s="382"/>
      <c r="N794" s="382"/>
      <c r="O794" s="382"/>
    </row>
    <row r="795" spans="11:15" ht="12.5">
      <c r="K795" s="382"/>
      <c r="L795" s="382"/>
      <c r="M795" s="382"/>
      <c r="N795" s="382"/>
      <c r="O795" s="382"/>
    </row>
    <row r="796" spans="11:15" ht="12.5">
      <c r="K796" s="382"/>
      <c r="L796" s="382"/>
      <c r="M796" s="382"/>
      <c r="N796" s="382"/>
      <c r="O796" s="382"/>
    </row>
    <row r="797" spans="11:15" ht="12.5">
      <c r="K797" s="382"/>
      <c r="L797" s="382"/>
      <c r="M797" s="382"/>
      <c r="N797" s="382"/>
      <c r="O797" s="382"/>
    </row>
    <row r="798" spans="11:15" ht="12.5">
      <c r="K798" s="382"/>
      <c r="L798" s="382"/>
      <c r="M798" s="382"/>
      <c r="N798" s="382"/>
      <c r="O798" s="382"/>
    </row>
    <row r="799" spans="11:15" ht="12.5">
      <c r="K799" s="382"/>
      <c r="L799" s="382"/>
      <c r="M799" s="382"/>
      <c r="N799" s="382"/>
      <c r="O799" s="382"/>
    </row>
    <row r="800" spans="11:15" ht="12.5">
      <c r="K800" s="382"/>
      <c r="L800" s="382"/>
      <c r="M800" s="382"/>
      <c r="N800" s="382"/>
      <c r="O800" s="382"/>
    </row>
    <row r="801" spans="11:15" ht="12.5">
      <c r="K801" s="382"/>
      <c r="L801" s="382"/>
      <c r="M801" s="382"/>
      <c r="N801" s="382"/>
      <c r="O801" s="382"/>
    </row>
    <row r="802" spans="11:15" ht="12.5">
      <c r="K802" s="382"/>
      <c r="L802" s="382"/>
      <c r="M802" s="382"/>
      <c r="N802" s="382"/>
      <c r="O802" s="382"/>
    </row>
    <row r="803" spans="11:15" ht="12.5">
      <c r="K803" s="382"/>
      <c r="L803" s="382"/>
      <c r="M803" s="382"/>
      <c r="N803" s="382"/>
      <c r="O803" s="382"/>
    </row>
    <row r="804" spans="11:15" ht="12.5">
      <c r="K804" s="382"/>
      <c r="L804" s="382"/>
      <c r="M804" s="382"/>
      <c r="N804" s="382"/>
      <c r="O804" s="382"/>
    </row>
    <row r="805" spans="11:15" ht="12.5">
      <c r="K805" s="382"/>
      <c r="L805" s="382"/>
      <c r="M805" s="382"/>
      <c r="N805" s="382"/>
      <c r="O805" s="382"/>
    </row>
    <row r="806" spans="11:15" ht="12.5">
      <c r="K806" s="382"/>
      <c r="L806" s="382"/>
      <c r="M806" s="382"/>
      <c r="N806" s="382"/>
      <c r="O806" s="382"/>
    </row>
    <row r="807" spans="11:15" ht="12.5">
      <c r="K807" s="382"/>
      <c r="L807" s="382"/>
      <c r="M807" s="382"/>
      <c r="N807" s="382"/>
      <c r="O807" s="382"/>
    </row>
    <row r="808" spans="11:15" ht="12.5">
      <c r="K808" s="382"/>
      <c r="L808" s="382"/>
      <c r="M808" s="382"/>
      <c r="N808" s="382"/>
      <c r="O808" s="382"/>
    </row>
    <row r="809" spans="11:15" ht="12.5">
      <c r="K809" s="382"/>
      <c r="L809" s="382"/>
      <c r="M809" s="382"/>
      <c r="N809" s="382"/>
      <c r="O809" s="382"/>
    </row>
    <row r="810" spans="11:15" ht="12.5">
      <c r="K810" s="382"/>
      <c r="L810" s="382"/>
      <c r="M810" s="382"/>
      <c r="N810" s="382"/>
      <c r="O810" s="382"/>
    </row>
    <row r="811" spans="11:15" ht="12.5">
      <c r="K811" s="382"/>
      <c r="L811" s="382"/>
      <c r="M811" s="382"/>
      <c r="N811" s="382"/>
      <c r="O811" s="382"/>
    </row>
    <row r="812" spans="11:15" ht="12.5">
      <c r="K812" s="382"/>
      <c r="L812" s="382"/>
      <c r="M812" s="382"/>
      <c r="N812" s="382"/>
      <c r="O812" s="382"/>
    </row>
    <row r="813" spans="11:15" ht="12.5">
      <c r="K813" s="382"/>
      <c r="L813" s="382"/>
      <c r="M813" s="382"/>
      <c r="N813" s="382"/>
      <c r="O813" s="382"/>
    </row>
    <row r="814" spans="11:15" ht="12.5">
      <c r="K814" s="382"/>
      <c r="L814" s="382"/>
      <c r="M814" s="382"/>
      <c r="N814" s="382"/>
      <c r="O814" s="382"/>
    </row>
    <row r="815" spans="11:15" ht="12.5">
      <c r="K815" s="382"/>
      <c r="L815" s="382"/>
      <c r="M815" s="382"/>
      <c r="N815" s="382"/>
      <c r="O815" s="382"/>
    </row>
    <row r="816" spans="11:15" ht="12.5">
      <c r="K816" s="382"/>
      <c r="L816" s="382"/>
      <c r="M816" s="382"/>
      <c r="N816" s="382"/>
      <c r="O816" s="382"/>
    </row>
    <row r="817" spans="11:15" ht="12.5">
      <c r="K817" s="382"/>
      <c r="L817" s="382"/>
      <c r="M817" s="382"/>
      <c r="N817" s="382"/>
      <c r="O817" s="382"/>
    </row>
    <row r="818" spans="11:15" ht="12.5">
      <c r="K818" s="382"/>
      <c r="L818" s="382"/>
      <c r="M818" s="382"/>
      <c r="N818" s="382"/>
      <c r="O818" s="382"/>
    </row>
    <row r="819" spans="11:15" ht="12.5">
      <c r="K819" s="382"/>
      <c r="L819" s="382"/>
      <c r="M819" s="382"/>
      <c r="N819" s="382"/>
      <c r="O819" s="382"/>
    </row>
    <row r="820" spans="11:15" ht="12.5">
      <c r="K820" s="382"/>
      <c r="L820" s="382"/>
      <c r="M820" s="382"/>
      <c r="N820" s="382"/>
      <c r="O820" s="382"/>
    </row>
    <row r="821" spans="11:15" ht="12.5">
      <c r="K821" s="382"/>
      <c r="L821" s="382"/>
      <c r="M821" s="382"/>
      <c r="N821" s="382"/>
      <c r="O821" s="382"/>
    </row>
    <row r="822" spans="11:15" ht="12.5">
      <c r="K822" s="382"/>
      <c r="L822" s="382"/>
      <c r="M822" s="382"/>
      <c r="N822" s="382"/>
      <c r="O822" s="382"/>
    </row>
    <row r="823" spans="11:15" ht="12.5">
      <c r="K823" s="382"/>
      <c r="L823" s="382"/>
      <c r="M823" s="382"/>
      <c r="N823" s="382"/>
      <c r="O823" s="382"/>
    </row>
    <row r="824" spans="11:15" ht="12.5">
      <c r="K824" s="382"/>
      <c r="L824" s="382"/>
      <c r="M824" s="382"/>
      <c r="N824" s="382"/>
      <c r="O824" s="382"/>
    </row>
    <row r="825" spans="11:15" ht="12.5">
      <c r="K825" s="382"/>
      <c r="L825" s="382"/>
      <c r="M825" s="382"/>
      <c r="N825" s="382"/>
      <c r="O825" s="382"/>
    </row>
    <row r="826" spans="11:15" ht="12.5">
      <c r="K826" s="382"/>
      <c r="L826" s="382"/>
      <c r="M826" s="382"/>
      <c r="N826" s="382"/>
      <c r="O826" s="382"/>
    </row>
    <row r="827" spans="11:15" ht="12.5">
      <c r="K827" s="382"/>
      <c r="L827" s="382"/>
      <c r="M827" s="382"/>
      <c r="N827" s="382"/>
      <c r="O827" s="382"/>
    </row>
    <row r="828" spans="11:15" ht="12.5">
      <c r="K828" s="382"/>
      <c r="L828" s="382"/>
      <c r="M828" s="382"/>
      <c r="N828" s="382"/>
      <c r="O828" s="382"/>
    </row>
    <row r="829" spans="11:15" ht="12.5">
      <c r="K829" s="382"/>
      <c r="L829" s="382"/>
      <c r="M829" s="382"/>
      <c r="N829" s="382"/>
      <c r="O829" s="382"/>
    </row>
    <row r="830" spans="11:15" ht="12.5">
      <c r="K830" s="382"/>
      <c r="L830" s="382"/>
      <c r="M830" s="382"/>
      <c r="N830" s="382"/>
      <c r="O830" s="382"/>
    </row>
    <row r="831" spans="11:15" ht="12.5">
      <c r="K831" s="382"/>
      <c r="L831" s="382"/>
      <c r="M831" s="382"/>
      <c r="N831" s="382"/>
      <c r="O831" s="382"/>
    </row>
    <row r="832" spans="11:15" ht="12.5">
      <c r="K832" s="382"/>
      <c r="L832" s="382"/>
      <c r="M832" s="382"/>
      <c r="N832" s="382"/>
      <c r="O832" s="382"/>
    </row>
    <row r="833" spans="11:15" ht="12.5">
      <c r="K833" s="382"/>
      <c r="L833" s="382"/>
      <c r="M833" s="382"/>
      <c r="N833" s="382"/>
      <c r="O833" s="382"/>
    </row>
    <row r="834" spans="11:15" ht="12.5">
      <c r="K834" s="382"/>
      <c r="L834" s="382"/>
      <c r="M834" s="382"/>
      <c r="N834" s="382"/>
      <c r="O834" s="382"/>
    </row>
    <row r="835" spans="11:15" ht="12.5">
      <c r="K835" s="382"/>
      <c r="L835" s="382"/>
      <c r="M835" s="382"/>
      <c r="N835" s="382"/>
      <c r="O835" s="382"/>
    </row>
    <row r="836" spans="11:15" ht="12.5">
      <c r="K836" s="382"/>
      <c r="L836" s="382"/>
      <c r="M836" s="382"/>
      <c r="N836" s="382"/>
      <c r="O836" s="382"/>
    </row>
    <row r="837" spans="11:15" ht="12.5">
      <c r="K837" s="382"/>
      <c r="L837" s="382"/>
      <c r="M837" s="382"/>
      <c r="N837" s="382"/>
      <c r="O837" s="382"/>
    </row>
    <row r="838" spans="11:15" ht="12.5">
      <c r="K838" s="382"/>
      <c r="L838" s="382"/>
      <c r="M838" s="382"/>
      <c r="N838" s="382"/>
      <c r="O838" s="382"/>
    </row>
    <row r="839" spans="11:15" ht="12.5">
      <c r="K839" s="382"/>
      <c r="L839" s="382"/>
      <c r="M839" s="382"/>
      <c r="N839" s="382"/>
      <c r="O839" s="382"/>
    </row>
    <row r="840" spans="11:15" ht="12.5">
      <c r="K840" s="382"/>
      <c r="L840" s="382"/>
      <c r="M840" s="382"/>
      <c r="N840" s="382"/>
      <c r="O840" s="382"/>
    </row>
    <row r="841" spans="11:15" ht="12.5">
      <c r="K841" s="382"/>
      <c r="L841" s="382"/>
      <c r="M841" s="382"/>
      <c r="N841" s="382"/>
      <c r="O841" s="382"/>
    </row>
    <row r="842" spans="11:15" ht="12.5">
      <c r="K842" s="382"/>
      <c r="L842" s="382"/>
      <c r="M842" s="382"/>
      <c r="N842" s="382"/>
      <c r="O842" s="382"/>
    </row>
    <row r="843" spans="11:15" ht="12.5">
      <c r="K843" s="382"/>
      <c r="L843" s="382"/>
      <c r="M843" s="382"/>
      <c r="N843" s="382"/>
      <c r="O843" s="382"/>
    </row>
    <row r="844" spans="11:15" ht="12.5">
      <c r="K844" s="382"/>
      <c r="L844" s="382"/>
      <c r="M844" s="382"/>
      <c r="N844" s="382"/>
      <c r="O844" s="382"/>
    </row>
    <row r="845" spans="11:15" ht="12.5">
      <c r="K845" s="382"/>
      <c r="L845" s="382"/>
      <c r="M845" s="382"/>
      <c r="N845" s="382"/>
      <c r="O845" s="382"/>
    </row>
    <row r="846" spans="11:15" ht="12.5">
      <c r="K846" s="382"/>
      <c r="L846" s="382"/>
      <c r="M846" s="382"/>
      <c r="N846" s="382"/>
      <c r="O846" s="382"/>
    </row>
    <row r="847" spans="11:15" ht="12.5">
      <c r="K847" s="382"/>
      <c r="L847" s="382"/>
      <c r="M847" s="382"/>
      <c r="N847" s="382"/>
      <c r="O847" s="382"/>
    </row>
    <row r="848" spans="11:15" ht="12.5">
      <c r="K848" s="382"/>
      <c r="L848" s="382"/>
      <c r="M848" s="382"/>
      <c r="N848" s="382"/>
      <c r="O848" s="382"/>
    </row>
    <row r="849" spans="11:15" ht="12.5">
      <c r="K849" s="382"/>
      <c r="L849" s="382"/>
      <c r="M849" s="382"/>
      <c r="N849" s="382"/>
      <c r="O849" s="382"/>
    </row>
    <row r="850" spans="11:15" ht="12.5">
      <c r="K850" s="382"/>
      <c r="L850" s="382"/>
      <c r="M850" s="382"/>
      <c r="N850" s="382"/>
      <c r="O850" s="382"/>
    </row>
    <row r="851" spans="11:15" ht="12.5">
      <c r="K851" s="382"/>
      <c r="L851" s="382"/>
      <c r="M851" s="382"/>
      <c r="N851" s="382"/>
      <c r="O851" s="382"/>
    </row>
    <row r="852" spans="11:15" ht="12.5">
      <c r="K852" s="382"/>
      <c r="L852" s="382"/>
      <c r="M852" s="382"/>
      <c r="N852" s="382"/>
      <c r="O852" s="382"/>
    </row>
    <row r="853" spans="11:15" ht="12.5">
      <c r="K853" s="382"/>
      <c r="L853" s="382"/>
      <c r="M853" s="382"/>
      <c r="N853" s="382"/>
      <c r="O853" s="382"/>
    </row>
    <row r="854" spans="11:15" ht="12.5">
      <c r="K854" s="382"/>
      <c r="L854" s="382"/>
      <c r="M854" s="382"/>
      <c r="N854" s="382"/>
      <c r="O854" s="382"/>
    </row>
    <row r="855" spans="11:15" ht="12.5">
      <c r="K855" s="382"/>
      <c r="L855" s="382"/>
      <c r="M855" s="382"/>
      <c r="N855" s="382"/>
      <c r="O855" s="382"/>
    </row>
    <row r="856" spans="11:15" ht="12.5">
      <c r="K856" s="382"/>
      <c r="L856" s="382"/>
      <c r="M856" s="382"/>
      <c r="N856" s="382"/>
      <c r="O856" s="382"/>
    </row>
    <row r="857" spans="11:15" ht="12.5">
      <c r="K857" s="382"/>
      <c r="L857" s="382"/>
      <c r="M857" s="382"/>
      <c r="N857" s="382"/>
      <c r="O857" s="382"/>
    </row>
    <row r="858" spans="11:15" ht="12.5">
      <c r="K858" s="382"/>
      <c r="L858" s="382"/>
      <c r="M858" s="382"/>
      <c r="N858" s="382"/>
      <c r="O858" s="382"/>
    </row>
    <row r="859" spans="11:15" ht="12.5">
      <c r="K859" s="382"/>
      <c r="L859" s="382"/>
      <c r="M859" s="382"/>
      <c r="N859" s="382"/>
      <c r="O859" s="382"/>
    </row>
    <row r="860" spans="11:15" ht="12.5">
      <c r="K860" s="382"/>
      <c r="L860" s="382"/>
      <c r="M860" s="382"/>
      <c r="N860" s="382"/>
      <c r="O860" s="382"/>
    </row>
    <row r="861" spans="11:15" ht="12.5">
      <c r="K861" s="382"/>
      <c r="L861" s="382"/>
      <c r="M861" s="382"/>
      <c r="N861" s="382"/>
      <c r="O861" s="382"/>
    </row>
    <row r="862" spans="11:15" ht="12.5">
      <c r="K862" s="382"/>
      <c r="L862" s="382"/>
      <c r="M862" s="382"/>
      <c r="N862" s="382"/>
      <c r="O862" s="382"/>
    </row>
    <row r="863" spans="11:15" ht="12.5">
      <c r="K863" s="382"/>
      <c r="L863" s="382"/>
      <c r="M863" s="382"/>
      <c r="N863" s="382"/>
      <c r="O863" s="382"/>
    </row>
    <row r="864" spans="11:15" ht="12.5">
      <c r="K864" s="382"/>
      <c r="L864" s="382"/>
      <c r="M864" s="382"/>
      <c r="N864" s="382"/>
      <c r="O864" s="382"/>
    </row>
    <row r="865" spans="11:15" ht="12.5">
      <c r="K865" s="382"/>
      <c r="L865" s="382"/>
      <c r="M865" s="382"/>
      <c r="N865" s="382"/>
      <c r="O865" s="382"/>
    </row>
    <row r="866" spans="11:15" ht="12.5">
      <c r="K866" s="382"/>
      <c r="L866" s="382"/>
      <c r="M866" s="382"/>
      <c r="N866" s="382"/>
      <c r="O866" s="382"/>
    </row>
    <row r="867" spans="11:15" ht="12.5">
      <c r="K867" s="382"/>
      <c r="L867" s="382"/>
      <c r="M867" s="382"/>
      <c r="N867" s="382"/>
      <c r="O867" s="382"/>
    </row>
    <row r="868" spans="11:15" ht="12.5">
      <c r="K868" s="382"/>
      <c r="L868" s="382"/>
      <c r="M868" s="382"/>
      <c r="N868" s="382"/>
      <c r="O868" s="382"/>
    </row>
    <row r="869" spans="11:15" ht="12.5">
      <c r="K869" s="382"/>
      <c r="L869" s="382"/>
      <c r="M869" s="382"/>
      <c r="N869" s="382"/>
      <c r="O869" s="382"/>
    </row>
    <row r="870" spans="11:15" ht="12.5">
      <c r="K870" s="382"/>
      <c r="L870" s="382"/>
      <c r="M870" s="382"/>
      <c r="N870" s="382"/>
      <c r="O870" s="382"/>
    </row>
    <row r="871" spans="11:15" ht="12.5">
      <c r="K871" s="382"/>
      <c r="L871" s="382"/>
      <c r="M871" s="382"/>
      <c r="N871" s="382"/>
      <c r="O871" s="382"/>
    </row>
    <row r="872" spans="11:15" ht="12.5">
      <c r="K872" s="382"/>
      <c r="L872" s="382"/>
      <c r="M872" s="382"/>
      <c r="N872" s="382"/>
      <c r="O872" s="382"/>
    </row>
    <row r="873" spans="11:15" ht="12.5">
      <c r="K873" s="382"/>
      <c r="L873" s="382"/>
      <c r="M873" s="382"/>
      <c r="N873" s="382"/>
      <c r="O873" s="382"/>
    </row>
  </sheetData>
  <sheetProtection sort="0" autoFilter="0" pivotTables="0"/>
  <autoFilter ref="A6:P122" xr:uid="{03FA5237-8C2F-4E4F-A69C-409324C79C5B}"/>
  <hyperlinks>
    <hyperlink ref="A4" r:id="rId1" location="gid=0" display="https://docs.google.com/spreadsheets/d/14onqkx_zEAFMADo2u0SdjBLYWfE31y6HTFrovpdc_F0/edit - gid=0" xr:uid="{EF70C2E4-30A3-4211-9EA4-6615F0AB461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94E07-5AD8-40FB-A6AA-E35A4827D0F5}">
  <sheetPr>
    <tabColor theme="0" tint="-0.499984740745262"/>
  </sheetPr>
  <dimension ref="A1:L24"/>
  <sheetViews>
    <sheetView workbookViewId="0">
      <selection activeCell="C20" sqref="C20:K20"/>
    </sheetView>
  </sheetViews>
  <sheetFormatPr defaultRowHeight="14.5"/>
  <cols>
    <col min="2" max="2" width="10.453125" customWidth="1"/>
    <col min="11" max="11" width="47.90625" customWidth="1"/>
    <col min="12" max="12" width="27.36328125" customWidth="1"/>
  </cols>
  <sheetData>
    <row r="1" spans="1:12" s="9" customFormat="1" ht="30">
      <c r="B1" s="330" t="s">
        <v>1626</v>
      </c>
    </row>
    <row r="2" spans="1:12" s="9" customFormat="1"/>
    <row r="3" spans="1:12" ht="23">
      <c r="A3" s="329" t="s">
        <v>1612</v>
      </c>
      <c r="B3" s="331" t="s">
        <v>1613</v>
      </c>
      <c r="C3" s="974" t="s">
        <v>1614</v>
      </c>
      <c r="D3" s="974"/>
      <c r="E3" s="974"/>
      <c r="F3" s="974"/>
      <c r="G3" s="974"/>
      <c r="H3" s="974"/>
      <c r="I3" s="974"/>
      <c r="J3" s="974"/>
      <c r="K3" s="974"/>
      <c r="L3" s="331" t="s">
        <v>1615</v>
      </c>
    </row>
    <row r="4" spans="1:12" s="5" customFormat="1" ht="25.75" customHeight="1">
      <c r="A4" s="975">
        <v>1</v>
      </c>
      <c r="B4" s="975" t="s">
        <v>1616</v>
      </c>
      <c r="C4" s="976" t="s">
        <v>1628</v>
      </c>
      <c r="D4" s="976"/>
      <c r="E4" s="976"/>
      <c r="F4" s="976"/>
      <c r="G4" s="976"/>
      <c r="H4" s="976"/>
      <c r="I4" s="976"/>
      <c r="J4" s="976"/>
      <c r="K4" s="976"/>
      <c r="L4" s="976" t="s">
        <v>1617</v>
      </c>
    </row>
    <row r="5" spans="1:12" s="5" customFormat="1" ht="25.75" customHeight="1">
      <c r="A5" s="975"/>
      <c r="B5" s="975"/>
      <c r="C5" s="976" t="s">
        <v>1629</v>
      </c>
      <c r="D5" s="976"/>
      <c r="E5" s="976"/>
      <c r="F5" s="976"/>
      <c r="G5" s="976"/>
      <c r="H5" s="976"/>
      <c r="I5" s="976"/>
      <c r="J5" s="976"/>
      <c r="K5" s="976"/>
      <c r="L5" s="976"/>
    </row>
    <row r="6" spans="1:12" s="5" customFormat="1" ht="25.75" customHeight="1">
      <c r="A6" s="975"/>
      <c r="B6" s="975"/>
      <c r="C6" s="976" t="s">
        <v>1630</v>
      </c>
      <c r="D6" s="976"/>
      <c r="E6" s="976"/>
      <c r="F6" s="976"/>
      <c r="G6" s="976"/>
      <c r="H6" s="976"/>
      <c r="I6" s="976"/>
      <c r="J6" s="976"/>
      <c r="K6" s="976"/>
      <c r="L6" s="976"/>
    </row>
    <row r="7" spans="1:12" s="5" customFormat="1" ht="25.75" customHeight="1">
      <c r="A7" s="977">
        <v>2</v>
      </c>
      <c r="B7" s="978" t="s">
        <v>1618</v>
      </c>
      <c r="C7" s="979" t="s">
        <v>1631</v>
      </c>
      <c r="D7" s="979"/>
      <c r="E7" s="979"/>
      <c r="F7" s="979"/>
      <c r="G7" s="979"/>
      <c r="H7" s="979"/>
      <c r="I7" s="979"/>
      <c r="J7" s="979"/>
      <c r="K7" s="979"/>
      <c r="L7" s="979" t="s">
        <v>1619</v>
      </c>
    </row>
    <row r="8" spans="1:12" s="5" customFormat="1" ht="25.75" customHeight="1">
      <c r="A8" s="977"/>
      <c r="B8" s="978"/>
      <c r="C8" s="979" t="s">
        <v>1632</v>
      </c>
      <c r="D8" s="979"/>
      <c r="E8" s="979"/>
      <c r="F8" s="979"/>
      <c r="G8" s="979"/>
      <c r="H8" s="979"/>
      <c r="I8" s="979"/>
      <c r="J8" s="979"/>
      <c r="K8" s="979"/>
      <c r="L8" s="979"/>
    </row>
    <row r="9" spans="1:12" s="5" customFormat="1" ht="25.75" customHeight="1">
      <c r="A9" s="977"/>
      <c r="B9" s="978"/>
      <c r="C9" s="979" t="s">
        <v>1633</v>
      </c>
      <c r="D9" s="979"/>
      <c r="E9" s="979"/>
      <c r="F9" s="979"/>
      <c r="G9" s="979"/>
      <c r="H9" s="979"/>
      <c r="I9" s="979"/>
      <c r="J9" s="979"/>
      <c r="K9" s="979"/>
      <c r="L9" s="979"/>
    </row>
    <row r="10" spans="1:12" s="5" customFormat="1" ht="25.75" customHeight="1">
      <c r="A10" s="977"/>
      <c r="B10" s="978"/>
      <c r="C10" s="979" t="s">
        <v>1634</v>
      </c>
      <c r="D10" s="979"/>
      <c r="E10" s="979"/>
      <c r="F10" s="979"/>
      <c r="G10" s="979"/>
      <c r="H10" s="979"/>
      <c r="I10" s="979"/>
      <c r="J10" s="979"/>
      <c r="K10" s="979"/>
      <c r="L10" s="979"/>
    </row>
    <row r="11" spans="1:12" s="5" customFormat="1" ht="25.75" customHeight="1">
      <c r="A11" s="980">
        <v>3</v>
      </c>
      <c r="B11" s="981" t="s">
        <v>1620</v>
      </c>
      <c r="C11" s="982" t="s">
        <v>1635</v>
      </c>
      <c r="D11" s="982"/>
      <c r="E11" s="982"/>
      <c r="F11" s="982"/>
      <c r="G11" s="982"/>
      <c r="H11" s="982"/>
      <c r="I11" s="982"/>
      <c r="J11" s="982"/>
      <c r="K11" s="982"/>
      <c r="L11" s="982" t="s">
        <v>1621</v>
      </c>
    </row>
    <row r="12" spans="1:12" s="5" customFormat="1" ht="25.75" customHeight="1">
      <c r="A12" s="980"/>
      <c r="B12" s="981"/>
      <c r="C12" s="982" t="s">
        <v>1636</v>
      </c>
      <c r="D12" s="982"/>
      <c r="E12" s="982"/>
      <c r="F12" s="982"/>
      <c r="G12" s="982"/>
      <c r="H12" s="982"/>
      <c r="I12" s="982"/>
      <c r="J12" s="982"/>
      <c r="K12" s="982"/>
      <c r="L12" s="982"/>
    </row>
    <row r="13" spans="1:12" s="5" customFormat="1" ht="25.75" customHeight="1">
      <c r="A13" s="980"/>
      <c r="B13" s="981"/>
      <c r="C13" s="982" t="s">
        <v>1637</v>
      </c>
      <c r="D13" s="982"/>
      <c r="E13" s="982"/>
      <c r="F13" s="982"/>
      <c r="G13" s="982"/>
      <c r="H13" s="982"/>
      <c r="I13" s="982"/>
      <c r="J13" s="982"/>
      <c r="K13" s="982"/>
      <c r="L13" s="982"/>
    </row>
    <row r="14" spans="1:12" s="5" customFormat="1" ht="25.75" customHeight="1">
      <c r="A14" s="983">
        <v>4</v>
      </c>
      <c r="B14" s="983" t="s">
        <v>1622</v>
      </c>
      <c r="C14" s="984" t="s">
        <v>1638</v>
      </c>
      <c r="D14" s="984"/>
      <c r="E14" s="984"/>
      <c r="F14" s="984"/>
      <c r="G14" s="984"/>
      <c r="H14" s="984"/>
      <c r="I14" s="984"/>
      <c r="J14" s="984"/>
      <c r="K14" s="984"/>
      <c r="L14" s="985" t="s">
        <v>1623</v>
      </c>
    </row>
    <row r="15" spans="1:12" s="5" customFormat="1" ht="25.75" customHeight="1">
      <c r="A15" s="983"/>
      <c r="B15" s="983"/>
      <c r="C15" s="984" t="s">
        <v>1639</v>
      </c>
      <c r="D15" s="984"/>
      <c r="E15" s="984"/>
      <c r="F15" s="984"/>
      <c r="G15" s="984"/>
      <c r="H15" s="984"/>
      <c r="I15" s="984"/>
      <c r="J15" s="984"/>
      <c r="K15" s="984"/>
      <c r="L15" s="985"/>
    </row>
    <row r="16" spans="1:12" s="5" customFormat="1" ht="25.75" customHeight="1">
      <c r="A16" s="983"/>
      <c r="B16" s="983"/>
      <c r="C16" s="984" t="s">
        <v>1640</v>
      </c>
      <c r="D16" s="984"/>
      <c r="E16" s="984"/>
      <c r="F16" s="984"/>
      <c r="G16" s="984"/>
      <c r="H16" s="984"/>
      <c r="I16" s="984"/>
      <c r="J16" s="984"/>
      <c r="K16" s="984"/>
      <c r="L16" s="985"/>
    </row>
    <row r="17" spans="1:12" s="5" customFormat="1" ht="25.75" customHeight="1">
      <c r="A17" s="986">
        <v>5</v>
      </c>
      <c r="B17" s="986" t="s">
        <v>1624</v>
      </c>
      <c r="C17" s="987" t="s">
        <v>1641</v>
      </c>
      <c r="D17" s="987"/>
      <c r="E17" s="987"/>
      <c r="F17" s="987"/>
      <c r="G17" s="987"/>
      <c r="H17" s="987"/>
      <c r="I17" s="987"/>
      <c r="J17" s="987"/>
      <c r="K17" s="987"/>
      <c r="L17" s="987" t="s">
        <v>1625</v>
      </c>
    </row>
    <row r="18" spans="1:12" s="5" customFormat="1" ht="25.75" customHeight="1">
      <c r="A18" s="986"/>
      <c r="B18" s="986"/>
      <c r="C18" s="987" t="s">
        <v>1642</v>
      </c>
      <c r="D18" s="987"/>
      <c r="E18" s="987"/>
      <c r="F18" s="987"/>
      <c r="G18" s="987"/>
      <c r="H18" s="987"/>
      <c r="I18" s="987"/>
      <c r="J18" s="987"/>
      <c r="K18" s="987"/>
      <c r="L18" s="987"/>
    </row>
    <row r="19" spans="1:12" s="5" customFormat="1" ht="13">
      <c r="A19" s="986"/>
      <c r="B19" s="986"/>
      <c r="C19" s="987" t="s">
        <v>1643</v>
      </c>
      <c r="D19" s="987"/>
      <c r="E19" s="987"/>
      <c r="F19" s="987"/>
      <c r="G19" s="987"/>
      <c r="H19" s="987"/>
      <c r="I19" s="987"/>
      <c r="J19" s="987"/>
      <c r="K19" s="987"/>
      <c r="L19" s="987"/>
    </row>
    <row r="20" spans="1:12" s="5" customFormat="1" ht="25.75" customHeight="1">
      <c r="A20" s="986"/>
      <c r="B20" s="986"/>
      <c r="C20" s="987" t="s">
        <v>1644</v>
      </c>
      <c r="D20" s="987"/>
      <c r="E20" s="987"/>
      <c r="F20" s="987"/>
      <c r="G20" s="987"/>
      <c r="H20" s="987"/>
      <c r="I20" s="987"/>
      <c r="J20" s="987"/>
      <c r="K20" s="987"/>
      <c r="L20" s="987"/>
    </row>
    <row r="21" spans="1:12" s="5" customFormat="1" ht="25.75" customHeight="1">
      <c r="A21" s="986"/>
      <c r="B21" s="986"/>
      <c r="C21" s="987" t="s">
        <v>1645</v>
      </c>
      <c r="D21" s="987"/>
      <c r="E21" s="987"/>
      <c r="F21" s="987"/>
      <c r="G21" s="987"/>
      <c r="H21" s="987"/>
      <c r="I21" s="987"/>
      <c r="J21" s="987"/>
      <c r="K21" s="987"/>
      <c r="L21" s="987"/>
    </row>
    <row r="22" spans="1:12">
      <c r="B22" s="332"/>
      <c r="C22" s="332"/>
      <c r="D22" s="332"/>
      <c r="E22" s="332"/>
      <c r="F22" s="332"/>
      <c r="G22" s="332"/>
      <c r="H22" s="332"/>
      <c r="I22" s="332"/>
      <c r="J22" s="332"/>
      <c r="K22" s="332"/>
      <c r="L22" s="332"/>
    </row>
    <row r="23" spans="1:12">
      <c r="A23" s="332" t="s">
        <v>1627</v>
      </c>
      <c r="C23" s="332"/>
      <c r="D23" s="332"/>
      <c r="E23" s="332"/>
      <c r="F23" s="332"/>
      <c r="G23" s="332"/>
      <c r="H23" s="332"/>
      <c r="I23" s="332"/>
      <c r="J23" s="332"/>
      <c r="K23" s="332"/>
      <c r="L23" s="332"/>
    </row>
    <row r="24" spans="1:12">
      <c r="B24" s="332"/>
      <c r="C24" s="332"/>
      <c r="D24" s="332"/>
      <c r="E24" s="332"/>
      <c r="F24" s="332"/>
      <c r="G24" s="332"/>
      <c r="H24" s="332"/>
      <c r="I24" s="332"/>
      <c r="J24" s="332"/>
      <c r="K24" s="332"/>
      <c r="L24" s="332"/>
    </row>
  </sheetData>
  <mergeCells count="34">
    <mergeCell ref="A17:A21"/>
    <mergeCell ref="B17:B21"/>
    <mergeCell ref="C17:K17"/>
    <mergeCell ref="L17:L21"/>
    <mergeCell ref="C18:K18"/>
    <mergeCell ref="C19:K19"/>
    <mergeCell ref="C20:K20"/>
    <mergeCell ref="C21:K21"/>
    <mergeCell ref="A14:A16"/>
    <mergeCell ref="B14:B16"/>
    <mergeCell ref="C14:K14"/>
    <mergeCell ref="L14:L16"/>
    <mergeCell ref="C15:K15"/>
    <mergeCell ref="C16:K16"/>
    <mergeCell ref="A11:A13"/>
    <mergeCell ref="B11:B13"/>
    <mergeCell ref="C11:K11"/>
    <mergeCell ref="L11:L13"/>
    <mergeCell ref="C12:K12"/>
    <mergeCell ref="C13:K13"/>
    <mergeCell ref="A7:A10"/>
    <mergeCell ref="B7:B10"/>
    <mergeCell ref="C7:K7"/>
    <mergeCell ref="L7:L10"/>
    <mergeCell ref="C8:K8"/>
    <mergeCell ref="C9:K9"/>
    <mergeCell ref="C10:K10"/>
    <mergeCell ref="C3:K3"/>
    <mergeCell ref="A4:A6"/>
    <mergeCell ref="B4:B6"/>
    <mergeCell ref="C4:K4"/>
    <mergeCell ref="L4:L6"/>
    <mergeCell ref="C5:K5"/>
    <mergeCell ref="C6:K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1304A-7435-483B-9696-16B10D9886D8}">
  <sheetPr>
    <tabColor theme="0" tint="-0.499984740745262"/>
    <pageSetUpPr fitToPage="1"/>
  </sheetPr>
  <dimension ref="A1:N58"/>
  <sheetViews>
    <sheetView zoomScale="93" zoomScaleNormal="130" workbookViewId="0">
      <pane ySplit="2" topLeftCell="A59" activePane="bottomLeft" state="frozen"/>
      <selection activeCell="A2" sqref="A2"/>
      <selection pane="bottomLeft" activeCell="C34" sqref="C34"/>
    </sheetView>
  </sheetViews>
  <sheetFormatPr defaultColWidth="9.08984375" defaultRowHeight="12.5"/>
  <cols>
    <col min="1" max="1" width="9.6328125" style="1" customWidth="1"/>
    <col min="2" max="2" width="17.54296875" style="1" customWidth="1"/>
    <col min="3" max="3" width="28.54296875" style="1" customWidth="1"/>
    <col min="4" max="4" width="12.36328125" style="1" customWidth="1"/>
    <col min="5" max="8" width="7.54296875" style="1" customWidth="1"/>
    <col min="9" max="13" width="27.36328125" style="1" customWidth="1"/>
    <col min="14" max="14" width="49.90625" style="1" customWidth="1"/>
    <col min="15" max="16384" width="9.08984375" style="1"/>
  </cols>
  <sheetData>
    <row r="1" spans="1:14" s="146" customFormat="1" ht="52.25" customHeight="1">
      <c r="A1" s="266" t="s">
        <v>1426</v>
      </c>
      <c r="B1" s="267"/>
    </row>
    <row r="2" spans="1:14" ht="53.25" customHeight="1">
      <c r="A2" s="1000" t="s">
        <v>1469</v>
      </c>
      <c r="B2" s="1000"/>
      <c r="C2" s="1000"/>
      <c r="D2" s="1000"/>
      <c r="E2" s="1000"/>
      <c r="F2" s="1000"/>
      <c r="G2" s="1000"/>
      <c r="H2" s="1000"/>
      <c r="I2" s="1000"/>
      <c r="J2" s="1000"/>
      <c r="K2" s="1000"/>
      <c r="L2" s="1000"/>
      <c r="M2" s="1000"/>
      <c r="N2" s="1000"/>
    </row>
    <row r="3" spans="1:14" ht="17">
      <c r="A3" s="112"/>
      <c r="B3" s="5"/>
      <c r="C3" s="5"/>
      <c r="D3" s="5"/>
      <c r="E3" s="5"/>
    </row>
    <row r="5" spans="1:14" ht="13">
      <c r="E5" s="1001" t="s">
        <v>852</v>
      </c>
      <c r="F5" s="1001"/>
      <c r="G5" s="1001"/>
      <c r="H5" s="1001"/>
    </row>
    <row r="6" spans="1:14" ht="22.5" customHeight="1">
      <c r="A6" s="113" t="s">
        <v>853</v>
      </c>
      <c r="B6" s="113" t="s">
        <v>376</v>
      </c>
      <c r="C6" s="113" t="s">
        <v>36</v>
      </c>
      <c r="D6" s="113" t="s">
        <v>379</v>
      </c>
      <c r="E6" s="113" t="s">
        <v>854</v>
      </c>
      <c r="F6" s="113" t="s">
        <v>855</v>
      </c>
      <c r="G6" s="113" t="s">
        <v>856</v>
      </c>
      <c r="H6" s="113" t="s">
        <v>857</v>
      </c>
      <c r="I6" s="114" t="s">
        <v>514</v>
      </c>
      <c r="J6" s="115" t="s">
        <v>515</v>
      </c>
      <c r="K6" s="116" t="s">
        <v>513</v>
      </c>
      <c r="L6" s="117" t="s">
        <v>839</v>
      </c>
      <c r="M6" s="118" t="s">
        <v>840</v>
      </c>
      <c r="N6" s="119" t="s">
        <v>858</v>
      </c>
    </row>
    <row r="7" spans="1:14" ht="100">
      <c r="A7" s="120">
        <v>1</v>
      </c>
      <c r="B7" s="121" t="s">
        <v>859</v>
      </c>
      <c r="C7" s="121" t="s">
        <v>860</v>
      </c>
      <c r="D7" s="121" t="s">
        <v>37</v>
      </c>
      <c r="E7" s="121" t="s">
        <v>861</v>
      </c>
      <c r="F7" s="121"/>
      <c r="G7" s="121"/>
      <c r="H7" s="121" t="s">
        <v>861</v>
      </c>
      <c r="I7" s="122" t="s">
        <v>9</v>
      </c>
      <c r="J7" s="123" t="s">
        <v>9</v>
      </c>
      <c r="K7" s="124" t="s">
        <v>862</v>
      </c>
      <c r="L7" s="125" t="s">
        <v>863</v>
      </c>
      <c r="M7" s="126" t="s">
        <v>864</v>
      </c>
      <c r="N7" s="127" t="s">
        <v>865</v>
      </c>
    </row>
    <row r="8" spans="1:14" ht="88" thickBot="1">
      <c r="A8" s="120">
        <v>2</v>
      </c>
      <c r="B8" s="121" t="s">
        <v>866</v>
      </c>
      <c r="C8" s="128" t="s">
        <v>867</v>
      </c>
      <c r="D8" s="121" t="s">
        <v>37</v>
      </c>
      <c r="E8" s="121" t="s">
        <v>861</v>
      </c>
      <c r="F8" s="121"/>
      <c r="G8" s="121"/>
      <c r="H8" s="121"/>
      <c r="I8" s="122" t="s">
        <v>868</v>
      </c>
      <c r="J8" s="123" t="s">
        <v>869</v>
      </c>
      <c r="K8" s="124" t="s">
        <v>870</v>
      </c>
      <c r="L8" s="125" t="s">
        <v>871</v>
      </c>
      <c r="M8" s="126" t="s">
        <v>872</v>
      </c>
      <c r="N8" s="127" t="s">
        <v>865</v>
      </c>
    </row>
    <row r="9" spans="1:14" s="134" customFormat="1" ht="50.5" thickBot="1">
      <c r="A9" s="120">
        <v>3</v>
      </c>
      <c r="B9" s="121" t="s">
        <v>873</v>
      </c>
      <c r="C9" s="121" t="s">
        <v>874</v>
      </c>
      <c r="D9" s="121" t="s">
        <v>37</v>
      </c>
      <c r="E9" s="121"/>
      <c r="F9" s="121" t="s">
        <v>861</v>
      </c>
      <c r="G9" s="121"/>
      <c r="H9" s="121"/>
      <c r="I9" s="129" t="s">
        <v>875</v>
      </c>
      <c r="J9" s="130" t="s">
        <v>876</v>
      </c>
      <c r="K9" s="131" t="s">
        <v>877</v>
      </c>
      <c r="L9" s="132" t="s">
        <v>878</v>
      </c>
      <c r="M9" s="133" t="s">
        <v>879</v>
      </c>
      <c r="N9" s="127" t="s">
        <v>880</v>
      </c>
    </row>
    <row r="10" spans="1:14" ht="87.5">
      <c r="A10" s="120">
        <v>4</v>
      </c>
      <c r="B10" s="121" t="s">
        <v>873</v>
      </c>
      <c r="C10" s="121" t="s">
        <v>29</v>
      </c>
      <c r="D10" s="121" t="s">
        <v>37</v>
      </c>
      <c r="E10" s="121"/>
      <c r="F10" s="121" t="s">
        <v>861</v>
      </c>
      <c r="G10" s="121"/>
      <c r="H10" s="121" t="s">
        <v>861</v>
      </c>
      <c r="I10" s="122" t="s">
        <v>881</v>
      </c>
      <c r="J10" s="123" t="s">
        <v>882</v>
      </c>
      <c r="K10" s="124" t="s">
        <v>883</v>
      </c>
      <c r="L10" s="125" t="s">
        <v>884</v>
      </c>
      <c r="M10" s="126" t="s">
        <v>9</v>
      </c>
      <c r="N10" s="127" t="s">
        <v>885</v>
      </c>
    </row>
    <row r="11" spans="1:14" ht="25">
      <c r="A11" s="120">
        <v>5</v>
      </c>
      <c r="B11" s="121" t="s">
        <v>873</v>
      </c>
      <c r="C11" s="121" t="s">
        <v>886</v>
      </c>
      <c r="D11" s="121" t="s">
        <v>37</v>
      </c>
      <c r="E11" s="121" t="s">
        <v>861</v>
      </c>
      <c r="F11" s="121"/>
      <c r="G11" s="121"/>
      <c r="H11" s="121" t="s">
        <v>861</v>
      </c>
      <c r="I11" s="122" t="s">
        <v>887</v>
      </c>
      <c r="J11" s="123" t="s">
        <v>9</v>
      </c>
      <c r="K11" s="124" t="s">
        <v>888</v>
      </c>
      <c r="L11" s="125" t="s">
        <v>9</v>
      </c>
      <c r="M11" s="126" t="s">
        <v>9</v>
      </c>
      <c r="N11" s="127" t="s">
        <v>865</v>
      </c>
    </row>
    <row r="12" spans="1:14" ht="25">
      <c r="A12" s="120">
        <v>6</v>
      </c>
      <c r="B12" s="121" t="s">
        <v>889</v>
      </c>
      <c r="C12" s="121" t="s">
        <v>789</v>
      </c>
      <c r="D12" s="121" t="s">
        <v>37</v>
      </c>
      <c r="E12" s="135" t="s">
        <v>60</v>
      </c>
      <c r="F12" s="121"/>
      <c r="G12" s="136" t="s">
        <v>861</v>
      </c>
      <c r="H12" s="121"/>
      <c r="I12" s="137" t="s">
        <v>890</v>
      </c>
      <c r="J12" s="123" t="s">
        <v>9</v>
      </c>
      <c r="K12" s="124" t="s">
        <v>891</v>
      </c>
      <c r="L12" s="125" t="s">
        <v>9</v>
      </c>
      <c r="M12" s="126" t="s">
        <v>9</v>
      </c>
      <c r="N12" s="127" t="s">
        <v>865</v>
      </c>
    </row>
    <row r="13" spans="1:14" ht="37.5">
      <c r="A13" s="120">
        <v>7</v>
      </c>
      <c r="B13" s="121" t="s">
        <v>892</v>
      </c>
      <c r="C13" s="121" t="s">
        <v>893</v>
      </c>
      <c r="D13" s="121" t="s">
        <v>37</v>
      </c>
      <c r="E13" s="121" t="s">
        <v>861</v>
      </c>
      <c r="F13" s="121"/>
      <c r="G13" s="121"/>
      <c r="H13" s="121"/>
      <c r="I13" s="122" t="s">
        <v>894</v>
      </c>
      <c r="J13" s="123" t="s">
        <v>9</v>
      </c>
      <c r="K13" s="124" t="s">
        <v>9</v>
      </c>
      <c r="L13" s="125" t="s">
        <v>895</v>
      </c>
      <c r="M13" s="126" t="s">
        <v>896</v>
      </c>
      <c r="N13" s="127" t="s">
        <v>865</v>
      </c>
    </row>
    <row r="14" spans="1:14" ht="87.5">
      <c r="A14" s="120">
        <v>8</v>
      </c>
      <c r="B14" s="121" t="s">
        <v>897</v>
      </c>
      <c r="C14" s="121" t="s">
        <v>898</v>
      </c>
      <c r="D14" s="121" t="s">
        <v>37</v>
      </c>
      <c r="E14" s="121"/>
      <c r="F14" s="121" t="s">
        <v>861</v>
      </c>
      <c r="G14" s="121"/>
      <c r="H14" s="121"/>
      <c r="I14" s="122" t="s">
        <v>899</v>
      </c>
      <c r="J14" s="123" t="s">
        <v>900</v>
      </c>
      <c r="K14" s="138" t="s">
        <v>901</v>
      </c>
      <c r="L14" s="139" t="s">
        <v>902</v>
      </c>
      <c r="M14" s="126" t="s">
        <v>903</v>
      </c>
      <c r="N14" s="127" t="s">
        <v>865</v>
      </c>
    </row>
    <row r="15" spans="1:14" ht="50">
      <c r="A15" s="120">
        <v>9</v>
      </c>
      <c r="B15" s="121" t="s">
        <v>904</v>
      </c>
      <c r="C15" s="121" t="s">
        <v>905</v>
      </c>
      <c r="D15" s="121" t="s">
        <v>37</v>
      </c>
      <c r="E15" s="121"/>
      <c r="F15" s="121" t="s">
        <v>861</v>
      </c>
      <c r="G15" s="121"/>
      <c r="H15" s="121"/>
      <c r="I15" s="122" t="s">
        <v>906</v>
      </c>
      <c r="J15" s="123" t="s">
        <v>907</v>
      </c>
      <c r="K15" s="124" t="s">
        <v>908</v>
      </c>
      <c r="L15" s="125" t="s">
        <v>909</v>
      </c>
      <c r="M15" s="126" t="s">
        <v>910</v>
      </c>
      <c r="N15" s="127" t="s">
        <v>911</v>
      </c>
    </row>
    <row r="16" spans="1:14" ht="153" customHeight="1">
      <c r="A16" s="120">
        <v>10</v>
      </c>
      <c r="B16" s="121" t="s">
        <v>745</v>
      </c>
      <c r="C16" s="121" t="s">
        <v>912</v>
      </c>
      <c r="D16" s="121" t="s">
        <v>37</v>
      </c>
      <c r="E16" s="121"/>
      <c r="F16" s="121" t="s">
        <v>861</v>
      </c>
      <c r="G16" s="121"/>
      <c r="H16" s="121"/>
      <c r="I16" s="122" t="s">
        <v>913</v>
      </c>
      <c r="J16" s="123" t="s">
        <v>914</v>
      </c>
      <c r="K16" s="124" t="s">
        <v>915</v>
      </c>
      <c r="L16" s="125" t="s">
        <v>916</v>
      </c>
      <c r="M16" s="126" t="s">
        <v>917</v>
      </c>
      <c r="N16" s="127" t="s">
        <v>865</v>
      </c>
    </row>
    <row r="17" spans="1:14" ht="38.25" customHeight="1">
      <c r="A17" s="120">
        <v>11</v>
      </c>
      <c r="B17" s="121" t="s">
        <v>4</v>
      </c>
      <c r="C17" s="121" t="s">
        <v>918</v>
      </c>
      <c r="D17" s="121" t="s">
        <v>37</v>
      </c>
      <c r="E17" s="121"/>
      <c r="F17" s="121" t="s">
        <v>861</v>
      </c>
      <c r="G17" s="121"/>
      <c r="H17" s="121"/>
      <c r="I17" s="122" t="s">
        <v>919</v>
      </c>
      <c r="J17" s="123" t="s">
        <v>920</v>
      </c>
      <c r="K17" s="124" t="s">
        <v>921</v>
      </c>
      <c r="L17" s="125" t="s">
        <v>922</v>
      </c>
      <c r="M17" s="126" t="s">
        <v>923</v>
      </c>
      <c r="N17" s="127" t="s">
        <v>865</v>
      </c>
    </row>
    <row r="18" spans="1:14" ht="25">
      <c r="A18" s="120">
        <v>12</v>
      </c>
      <c r="B18" s="121" t="s">
        <v>4</v>
      </c>
      <c r="C18" s="121" t="s">
        <v>924</v>
      </c>
      <c r="D18" s="121" t="s">
        <v>37</v>
      </c>
      <c r="E18" s="121"/>
      <c r="F18" s="121" t="s">
        <v>60</v>
      </c>
      <c r="G18" s="121"/>
      <c r="H18" s="121"/>
      <c r="I18" s="122" t="s">
        <v>919</v>
      </c>
      <c r="J18" s="123" t="s">
        <v>925</v>
      </c>
      <c r="K18" s="124" t="s">
        <v>926</v>
      </c>
      <c r="L18" s="125" t="s">
        <v>927</v>
      </c>
      <c r="M18" s="126" t="s">
        <v>9</v>
      </c>
      <c r="N18" s="127" t="s">
        <v>865</v>
      </c>
    </row>
    <row r="19" spans="1:14" ht="37.5">
      <c r="A19" s="120">
        <v>13</v>
      </c>
      <c r="B19" s="121" t="s">
        <v>788</v>
      </c>
      <c r="C19" s="121" t="s">
        <v>928</v>
      </c>
      <c r="D19" s="121" t="s">
        <v>37</v>
      </c>
      <c r="E19" s="121"/>
      <c r="F19" s="121" t="s">
        <v>861</v>
      </c>
      <c r="G19" s="121"/>
      <c r="H19" s="121" t="s">
        <v>861</v>
      </c>
      <c r="I19" s="122" t="s">
        <v>929</v>
      </c>
      <c r="J19" s="123" t="s">
        <v>930</v>
      </c>
      <c r="K19" s="124" t="s">
        <v>931</v>
      </c>
      <c r="L19" s="125" t="s">
        <v>932</v>
      </c>
      <c r="M19" s="126" t="s">
        <v>933</v>
      </c>
      <c r="N19" s="127" t="s">
        <v>865</v>
      </c>
    </row>
    <row r="20" spans="1:14" ht="50">
      <c r="A20" s="120">
        <v>14</v>
      </c>
      <c r="B20" s="121" t="s">
        <v>788</v>
      </c>
      <c r="C20" s="121" t="s">
        <v>934</v>
      </c>
      <c r="D20" s="121" t="s">
        <v>37</v>
      </c>
      <c r="E20" s="121" t="s">
        <v>861</v>
      </c>
      <c r="F20" s="121"/>
      <c r="G20" s="121"/>
      <c r="H20" s="121"/>
      <c r="I20" s="122" t="s">
        <v>935</v>
      </c>
      <c r="J20" s="123" t="s">
        <v>9</v>
      </c>
      <c r="K20" s="124" t="s">
        <v>936</v>
      </c>
      <c r="L20" s="125" t="s">
        <v>937</v>
      </c>
      <c r="M20" s="126" t="s">
        <v>938</v>
      </c>
      <c r="N20" s="127" t="s">
        <v>865</v>
      </c>
    </row>
    <row r="21" spans="1:14" ht="25">
      <c r="A21" s="120">
        <v>15</v>
      </c>
      <c r="B21" s="121" t="s">
        <v>788</v>
      </c>
      <c r="C21" s="140" t="s">
        <v>939</v>
      </c>
      <c r="D21" s="121" t="s">
        <v>37</v>
      </c>
      <c r="E21" s="121"/>
      <c r="F21" s="121"/>
      <c r="G21" s="121"/>
      <c r="H21" s="121" t="s">
        <v>861</v>
      </c>
      <c r="I21" s="122" t="s">
        <v>940</v>
      </c>
      <c r="J21" s="123" t="s">
        <v>941</v>
      </c>
      <c r="K21" s="124" t="s">
        <v>942</v>
      </c>
      <c r="L21" s="125" t="s">
        <v>943</v>
      </c>
      <c r="M21" s="126" t="s">
        <v>944</v>
      </c>
      <c r="N21" s="127" t="s">
        <v>865</v>
      </c>
    </row>
    <row r="22" spans="1:14" ht="37.5">
      <c r="A22" s="120">
        <v>16</v>
      </c>
      <c r="B22" s="121" t="s">
        <v>1</v>
      </c>
      <c r="C22" s="121" t="s">
        <v>362</v>
      </c>
      <c r="D22" s="121" t="s">
        <v>37</v>
      </c>
      <c r="E22" s="121" t="s">
        <v>861</v>
      </c>
      <c r="F22" s="121"/>
      <c r="G22" s="121"/>
      <c r="H22" s="121"/>
      <c r="I22" s="137" t="s">
        <v>945</v>
      </c>
      <c r="J22" s="123" t="s">
        <v>946</v>
      </c>
      <c r="K22" s="124" t="s">
        <v>947</v>
      </c>
      <c r="L22" s="125" t="s">
        <v>948</v>
      </c>
      <c r="M22" s="126" t="s">
        <v>949</v>
      </c>
      <c r="N22" s="127" t="s">
        <v>865</v>
      </c>
    </row>
    <row r="23" spans="1:14" ht="62.5">
      <c r="A23" s="120">
        <v>17</v>
      </c>
      <c r="B23" s="121" t="s">
        <v>46</v>
      </c>
      <c r="C23" s="121" t="s">
        <v>950</v>
      </c>
      <c r="D23" s="121" t="s">
        <v>37</v>
      </c>
      <c r="E23" s="121"/>
      <c r="F23" s="135" t="s">
        <v>861</v>
      </c>
      <c r="G23" s="136" t="s">
        <v>861</v>
      </c>
      <c r="H23" s="121"/>
      <c r="I23" s="141" t="s">
        <v>951</v>
      </c>
      <c r="J23" s="123" t="s">
        <v>952</v>
      </c>
      <c r="K23" s="124" t="s">
        <v>953</v>
      </c>
      <c r="L23" s="125" t="s">
        <v>954</v>
      </c>
      <c r="M23" s="126" t="s">
        <v>955</v>
      </c>
      <c r="N23" s="127" t="s">
        <v>956</v>
      </c>
    </row>
    <row r="24" spans="1:14" ht="112.5">
      <c r="A24" s="120">
        <v>18</v>
      </c>
      <c r="B24" s="121" t="s">
        <v>2</v>
      </c>
      <c r="C24" s="121" t="s">
        <v>957</v>
      </c>
      <c r="D24" s="121" t="s">
        <v>37</v>
      </c>
      <c r="E24" s="135" t="s">
        <v>60</v>
      </c>
      <c r="F24" s="121"/>
      <c r="G24" s="136" t="s">
        <v>861</v>
      </c>
      <c r="H24" s="121" t="s">
        <v>861</v>
      </c>
      <c r="I24" s="137" t="s">
        <v>958</v>
      </c>
      <c r="J24" s="123" t="s">
        <v>9</v>
      </c>
      <c r="K24" s="124" t="s">
        <v>959</v>
      </c>
      <c r="L24" s="125" t="s">
        <v>960</v>
      </c>
      <c r="M24" s="126" t="s">
        <v>961</v>
      </c>
      <c r="N24" s="127" t="s">
        <v>865</v>
      </c>
    </row>
    <row r="25" spans="1:14" ht="37.5">
      <c r="A25" s="120">
        <v>19</v>
      </c>
      <c r="B25" s="121" t="s">
        <v>5</v>
      </c>
      <c r="C25" s="121" t="s">
        <v>962</v>
      </c>
      <c r="D25" s="121" t="s">
        <v>37</v>
      </c>
      <c r="E25" s="121"/>
      <c r="F25" s="121" t="s">
        <v>861</v>
      </c>
      <c r="G25" s="121"/>
      <c r="H25" s="121"/>
      <c r="I25" s="122" t="s">
        <v>963</v>
      </c>
      <c r="J25" s="123" t="s">
        <v>964</v>
      </c>
      <c r="K25" s="124" t="s">
        <v>965</v>
      </c>
      <c r="L25" s="125" t="s">
        <v>966</v>
      </c>
      <c r="M25" s="126" t="s">
        <v>967</v>
      </c>
      <c r="N25" s="127" t="s">
        <v>865</v>
      </c>
    </row>
    <row r="26" spans="1:14" ht="100">
      <c r="A26" s="120">
        <v>20</v>
      </c>
      <c r="B26" s="121" t="s">
        <v>5</v>
      </c>
      <c r="C26" s="121" t="s">
        <v>968</v>
      </c>
      <c r="D26" s="121" t="s">
        <v>37</v>
      </c>
      <c r="E26" s="121"/>
      <c r="F26" s="121" t="s">
        <v>861</v>
      </c>
      <c r="G26" s="121"/>
      <c r="H26" s="121"/>
      <c r="I26" s="122" t="s">
        <v>969</v>
      </c>
      <c r="J26" s="123" t="s">
        <v>970</v>
      </c>
      <c r="K26" s="124" t="s">
        <v>971</v>
      </c>
      <c r="L26" s="125" t="s">
        <v>972</v>
      </c>
      <c r="M26" s="126" t="s">
        <v>973</v>
      </c>
      <c r="N26" s="127" t="s">
        <v>865</v>
      </c>
    </row>
    <row r="29" spans="1:14" ht="13">
      <c r="A29" s="2" t="s">
        <v>854</v>
      </c>
      <c r="B29" s="1" t="s">
        <v>974</v>
      </c>
      <c r="C29" s="142" t="s">
        <v>975</v>
      </c>
    </row>
    <row r="30" spans="1:14" ht="13">
      <c r="A30" s="2" t="s">
        <v>855</v>
      </c>
      <c r="B30" s="1" t="s">
        <v>848</v>
      </c>
      <c r="C30" s="143" t="s">
        <v>976</v>
      </c>
    </row>
    <row r="31" spans="1:14" ht="13">
      <c r="A31" s="2" t="s">
        <v>856</v>
      </c>
      <c r="B31" s="1" t="s">
        <v>12</v>
      </c>
      <c r="C31" s="144" t="s">
        <v>977</v>
      </c>
    </row>
    <row r="32" spans="1:14" ht="25.5">
      <c r="A32" s="2" t="s">
        <v>978</v>
      </c>
      <c r="B32" s="1" t="s">
        <v>979</v>
      </c>
    </row>
    <row r="33" spans="1:14" ht="25.5">
      <c r="A33" s="2" t="s">
        <v>980</v>
      </c>
      <c r="B33" s="1" t="s">
        <v>981</v>
      </c>
    </row>
    <row r="36" spans="1:14" ht="13">
      <c r="A36" s="145" t="s">
        <v>982</v>
      </c>
      <c r="B36" s="1002" t="s">
        <v>983</v>
      </c>
      <c r="C36" s="1003"/>
      <c r="D36" s="1003"/>
      <c r="E36" s="1003"/>
      <c r="F36" s="1003"/>
      <c r="G36" s="1003"/>
      <c r="H36" s="1003"/>
      <c r="I36" s="1003"/>
      <c r="J36" s="1003"/>
      <c r="K36" s="1003"/>
      <c r="L36" s="1003"/>
      <c r="M36" s="1003"/>
      <c r="N36" s="1003"/>
    </row>
    <row r="37" spans="1:14">
      <c r="A37" s="1004">
        <v>1</v>
      </c>
      <c r="B37" s="1005" t="s">
        <v>984</v>
      </c>
      <c r="C37" s="1006"/>
      <c r="D37" s="1006"/>
      <c r="E37" s="1006"/>
      <c r="F37" s="1006"/>
      <c r="G37" s="1006"/>
      <c r="H37" s="1006"/>
      <c r="I37" s="1006"/>
      <c r="J37" s="1006"/>
      <c r="K37" s="1006"/>
      <c r="L37" s="1006"/>
      <c r="M37" s="1006"/>
      <c r="N37" s="1006"/>
    </row>
    <row r="38" spans="1:14">
      <c r="A38" s="1004"/>
      <c r="B38" s="1005" t="s">
        <v>985</v>
      </c>
      <c r="C38" s="1006"/>
      <c r="D38" s="1006"/>
      <c r="E38" s="1006"/>
      <c r="F38" s="1006"/>
      <c r="G38" s="1006"/>
      <c r="H38" s="1006"/>
      <c r="I38" s="1006"/>
      <c r="J38" s="1006"/>
      <c r="K38" s="1006"/>
      <c r="L38" s="1006"/>
      <c r="M38" s="1006"/>
      <c r="N38" s="1006"/>
    </row>
    <row r="39" spans="1:14">
      <c r="A39" s="1004"/>
      <c r="B39" s="1005" t="s">
        <v>986</v>
      </c>
      <c r="C39" s="1006"/>
      <c r="D39" s="1006"/>
      <c r="E39" s="1006"/>
      <c r="F39" s="1006"/>
      <c r="G39" s="1006"/>
      <c r="H39" s="1006"/>
      <c r="I39" s="1006"/>
      <c r="J39" s="1006"/>
      <c r="K39" s="1006"/>
      <c r="L39" s="1006"/>
      <c r="M39" s="1006"/>
      <c r="N39" s="1006"/>
    </row>
    <row r="40" spans="1:14">
      <c r="A40" s="997">
        <v>2</v>
      </c>
      <c r="B40" s="998" t="s">
        <v>987</v>
      </c>
      <c r="C40" s="999"/>
      <c r="D40" s="999"/>
      <c r="E40" s="999"/>
      <c r="F40" s="999"/>
      <c r="G40" s="999"/>
      <c r="H40" s="999"/>
      <c r="I40" s="999"/>
      <c r="J40" s="999"/>
      <c r="K40" s="999"/>
      <c r="L40" s="999"/>
      <c r="M40" s="999"/>
      <c r="N40" s="999"/>
    </row>
    <row r="41" spans="1:14">
      <c r="A41" s="997"/>
      <c r="B41" s="998" t="s">
        <v>988</v>
      </c>
      <c r="C41" s="999"/>
      <c r="D41" s="999"/>
      <c r="E41" s="999"/>
      <c r="F41" s="999"/>
      <c r="G41" s="999"/>
      <c r="H41" s="999"/>
      <c r="I41" s="999"/>
      <c r="J41" s="999"/>
      <c r="K41" s="999"/>
      <c r="L41" s="999"/>
      <c r="M41" s="999"/>
      <c r="N41" s="999"/>
    </row>
    <row r="42" spans="1:14">
      <c r="A42" s="997"/>
      <c r="B42" s="998" t="s">
        <v>989</v>
      </c>
      <c r="C42" s="999"/>
      <c r="D42" s="999"/>
      <c r="E42" s="999"/>
      <c r="F42" s="999"/>
      <c r="G42" s="999"/>
      <c r="H42" s="999"/>
      <c r="I42" s="999"/>
      <c r="J42" s="999"/>
      <c r="K42" s="999"/>
      <c r="L42" s="999"/>
      <c r="M42" s="999"/>
      <c r="N42" s="999"/>
    </row>
    <row r="43" spans="1:14">
      <c r="A43" s="997"/>
      <c r="B43" s="998" t="s">
        <v>990</v>
      </c>
      <c r="C43" s="999"/>
      <c r="D43" s="999"/>
      <c r="E43" s="999"/>
      <c r="F43" s="999"/>
      <c r="G43" s="999"/>
      <c r="H43" s="999"/>
      <c r="I43" s="999"/>
      <c r="J43" s="999"/>
      <c r="K43" s="999"/>
      <c r="L43" s="999"/>
      <c r="M43" s="999"/>
      <c r="N43" s="999"/>
    </row>
    <row r="44" spans="1:14">
      <c r="A44" s="997"/>
      <c r="B44" s="998" t="s">
        <v>991</v>
      </c>
      <c r="C44" s="999"/>
      <c r="D44" s="999"/>
      <c r="E44" s="999"/>
      <c r="F44" s="999"/>
      <c r="G44" s="999"/>
      <c r="H44" s="999"/>
      <c r="I44" s="999"/>
      <c r="J44" s="999"/>
      <c r="K44" s="999"/>
      <c r="L44" s="999"/>
      <c r="M44" s="999"/>
      <c r="N44" s="999"/>
    </row>
    <row r="45" spans="1:14">
      <c r="A45" s="991">
        <v>3</v>
      </c>
      <c r="B45" s="992" t="s">
        <v>992</v>
      </c>
      <c r="C45" s="993"/>
      <c r="D45" s="993"/>
      <c r="E45" s="993"/>
      <c r="F45" s="993"/>
      <c r="G45" s="993"/>
      <c r="H45" s="993"/>
      <c r="I45" s="993"/>
      <c r="J45" s="993"/>
      <c r="K45" s="993"/>
      <c r="L45" s="993"/>
      <c r="M45" s="993"/>
      <c r="N45" s="993"/>
    </row>
    <row r="46" spans="1:14">
      <c r="A46" s="991"/>
      <c r="B46" s="992" t="s">
        <v>993</v>
      </c>
      <c r="C46" s="993"/>
      <c r="D46" s="993"/>
      <c r="E46" s="993"/>
      <c r="F46" s="993"/>
      <c r="G46" s="993"/>
      <c r="H46" s="993"/>
      <c r="I46" s="993"/>
      <c r="J46" s="993"/>
      <c r="K46" s="993"/>
      <c r="L46" s="993"/>
      <c r="M46" s="993"/>
      <c r="N46" s="993"/>
    </row>
    <row r="47" spans="1:14">
      <c r="A47" s="991"/>
      <c r="B47" s="992" t="s">
        <v>994</v>
      </c>
      <c r="C47" s="993"/>
      <c r="D47" s="993"/>
      <c r="E47" s="993"/>
      <c r="F47" s="993"/>
      <c r="G47" s="993"/>
      <c r="H47" s="993"/>
      <c r="I47" s="993"/>
      <c r="J47" s="993"/>
      <c r="K47" s="993"/>
      <c r="L47" s="993"/>
      <c r="M47" s="993"/>
      <c r="N47" s="993"/>
    </row>
    <row r="48" spans="1:14">
      <c r="A48" s="991"/>
      <c r="B48" s="992" t="s">
        <v>995</v>
      </c>
      <c r="C48" s="993"/>
      <c r="D48" s="993"/>
      <c r="E48" s="993"/>
      <c r="F48" s="993"/>
      <c r="G48" s="993"/>
      <c r="H48" s="993"/>
      <c r="I48" s="993"/>
      <c r="J48" s="993"/>
      <c r="K48" s="993"/>
      <c r="L48" s="993"/>
      <c r="M48" s="993"/>
      <c r="N48" s="993"/>
    </row>
    <row r="49" spans="1:14">
      <c r="A49" s="994">
        <v>4</v>
      </c>
      <c r="B49" s="995" t="s">
        <v>996</v>
      </c>
      <c r="C49" s="996"/>
      <c r="D49" s="996"/>
      <c r="E49" s="996"/>
      <c r="F49" s="996"/>
      <c r="G49" s="996"/>
      <c r="H49" s="996"/>
      <c r="I49" s="996"/>
      <c r="J49" s="996"/>
      <c r="K49" s="996"/>
      <c r="L49" s="996"/>
      <c r="M49" s="996"/>
      <c r="N49" s="996"/>
    </row>
    <row r="50" spans="1:14" ht="36" customHeight="1">
      <c r="A50" s="994"/>
      <c r="B50" s="995" t="s">
        <v>997</v>
      </c>
      <c r="C50" s="996"/>
      <c r="D50" s="996"/>
      <c r="E50" s="996"/>
      <c r="F50" s="996"/>
      <c r="G50" s="996"/>
      <c r="H50" s="996"/>
      <c r="I50" s="996"/>
      <c r="J50" s="996"/>
      <c r="K50" s="996"/>
      <c r="L50" s="996"/>
      <c r="M50" s="996"/>
      <c r="N50" s="996"/>
    </row>
    <row r="51" spans="1:14">
      <c r="A51" s="994"/>
      <c r="B51" s="995" t="s">
        <v>998</v>
      </c>
      <c r="C51" s="996"/>
      <c r="D51" s="996"/>
      <c r="E51" s="996"/>
      <c r="F51" s="996"/>
      <c r="G51" s="996"/>
      <c r="H51" s="996"/>
      <c r="I51" s="996"/>
      <c r="J51" s="996"/>
      <c r="K51" s="996"/>
      <c r="L51" s="996"/>
      <c r="M51" s="996"/>
      <c r="N51" s="996"/>
    </row>
    <row r="52" spans="1:14">
      <c r="A52" s="994"/>
      <c r="B52" s="995" t="s">
        <v>999</v>
      </c>
      <c r="C52" s="996"/>
      <c r="D52" s="996"/>
      <c r="E52" s="996"/>
      <c r="F52" s="996"/>
      <c r="G52" s="996"/>
      <c r="H52" s="996"/>
      <c r="I52" s="996"/>
      <c r="J52" s="996"/>
      <c r="K52" s="996"/>
      <c r="L52" s="996"/>
      <c r="M52" s="996"/>
      <c r="N52" s="996"/>
    </row>
    <row r="53" spans="1:14">
      <c r="A53" s="988">
        <v>5</v>
      </c>
      <c r="B53" s="989" t="s">
        <v>1000</v>
      </c>
      <c r="C53" s="990"/>
      <c r="D53" s="990"/>
      <c r="E53" s="990"/>
      <c r="F53" s="990"/>
      <c r="G53" s="990"/>
      <c r="H53" s="990"/>
      <c r="I53" s="990"/>
      <c r="J53" s="990"/>
      <c r="K53" s="990"/>
      <c r="L53" s="990"/>
      <c r="M53" s="990"/>
      <c r="N53" s="990"/>
    </row>
    <row r="54" spans="1:14">
      <c r="A54" s="988"/>
      <c r="B54" s="989" t="s">
        <v>1001</v>
      </c>
      <c r="C54" s="990"/>
      <c r="D54" s="990"/>
      <c r="E54" s="990"/>
      <c r="F54" s="990"/>
      <c r="G54" s="990"/>
      <c r="H54" s="990"/>
      <c r="I54" s="990"/>
      <c r="J54" s="990"/>
      <c r="K54" s="990"/>
      <c r="L54" s="990"/>
      <c r="M54" s="990"/>
      <c r="N54" s="990"/>
    </row>
    <row r="55" spans="1:14">
      <c r="A55" s="988"/>
      <c r="B55" s="989" t="s">
        <v>1002</v>
      </c>
      <c r="C55" s="990"/>
      <c r="D55" s="990"/>
      <c r="E55" s="990"/>
      <c r="F55" s="990"/>
      <c r="G55" s="990"/>
      <c r="H55" s="990"/>
      <c r="I55" s="990"/>
      <c r="J55" s="990"/>
      <c r="K55" s="990"/>
      <c r="L55" s="990"/>
      <c r="M55" s="990"/>
      <c r="N55" s="990"/>
    </row>
    <row r="56" spans="1:14">
      <c r="A56" s="988"/>
      <c r="B56" s="989" t="s">
        <v>1003</v>
      </c>
      <c r="C56" s="990"/>
      <c r="D56" s="990"/>
      <c r="E56" s="990"/>
      <c r="F56" s="990"/>
      <c r="G56" s="990"/>
      <c r="H56" s="990"/>
      <c r="I56" s="990"/>
      <c r="J56" s="990"/>
      <c r="K56" s="990"/>
      <c r="L56" s="990"/>
      <c r="M56" s="990"/>
      <c r="N56" s="990"/>
    </row>
    <row r="57" spans="1:14">
      <c r="A57" s="988"/>
      <c r="B57" s="989" t="s">
        <v>1004</v>
      </c>
      <c r="C57" s="990"/>
      <c r="D57" s="990"/>
      <c r="E57" s="990"/>
      <c r="F57" s="990"/>
      <c r="G57" s="990"/>
      <c r="H57" s="990"/>
      <c r="I57" s="990"/>
      <c r="J57" s="990"/>
      <c r="K57" s="990"/>
      <c r="L57" s="990"/>
      <c r="M57" s="990"/>
      <c r="N57" s="990"/>
    </row>
    <row r="58" spans="1:14">
      <c r="A58" s="988"/>
      <c r="B58" s="989" t="s">
        <v>1005</v>
      </c>
      <c r="C58" s="990"/>
      <c r="D58" s="990"/>
      <c r="E58" s="990"/>
      <c r="F58" s="990"/>
      <c r="G58" s="990"/>
      <c r="H58" s="990"/>
      <c r="I58" s="990"/>
      <c r="J58" s="990"/>
      <c r="K58" s="990"/>
      <c r="L58" s="990"/>
      <c r="M58" s="990"/>
      <c r="N58" s="990"/>
    </row>
  </sheetData>
  <sheetProtection sort="0" autoFilter="0"/>
  <mergeCells count="30">
    <mergeCell ref="A2:N2"/>
    <mergeCell ref="E5:H5"/>
    <mergeCell ref="B36:N36"/>
    <mergeCell ref="A37:A39"/>
    <mergeCell ref="B37:N37"/>
    <mergeCell ref="B38:N38"/>
    <mergeCell ref="B39:N39"/>
    <mergeCell ref="A40:A44"/>
    <mergeCell ref="B40:N40"/>
    <mergeCell ref="B41:N41"/>
    <mergeCell ref="B42:N42"/>
    <mergeCell ref="B43:N43"/>
    <mergeCell ref="B44:N44"/>
    <mergeCell ref="A49:A52"/>
    <mergeCell ref="B49:N49"/>
    <mergeCell ref="B50:N50"/>
    <mergeCell ref="B51:N51"/>
    <mergeCell ref="B52:N52"/>
    <mergeCell ref="A45:A48"/>
    <mergeCell ref="B45:N45"/>
    <mergeCell ref="B46:N46"/>
    <mergeCell ref="B47:N47"/>
    <mergeCell ref="B48:N48"/>
    <mergeCell ref="A53:A58"/>
    <mergeCell ref="B53:N53"/>
    <mergeCell ref="B54:N54"/>
    <mergeCell ref="B55:N55"/>
    <mergeCell ref="B56:N56"/>
    <mergeCell ref="B57:N57"/>
    <mergeCell ref="B58:N58"/>
  </mergeCells>
  <pageMargins left="0" right="0" top="0.25" bottom="0.25" header="0.05" footer="0.05"/>
  <pageSetup paperSize="8" scale="12" fitToHeight="0" orientation="landscape"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74CAE-AC9C-4B4A-B8FF-53F5D468C613}">
  <sheetPr>
    <tabColor theme="0" tint="-0.499984740745262"/>
  </sheetPr>
  <dimension ref="A1:F32"/>
  <sheetViews>
    <sheetView zoomScale="144" workbookViewId="0">
      <selection activeCell="B19" sqref="B19"/>
    </sheetView>
  </sheetViews>
  <sheetFormatPr defaultColWidth="61.36328125" defaultRowHeight="14.5"/>
  <cols>
    <col min="1" max="1" width="17.54296875" style="3" customWidth="1"/>
    <col min="2" max="2" width="79.54296875" style="3" customWidth="1"/>
    <col min="3" max="3" width="15.453125" style="3" customWidth="1"/>
    <col min="4" max="16384" width="61.36328125" style="9"/>
  </cols>
  <sheetData>
    <row r="1" spans="1:6" ht="25">
      <c r="A1" s="268" t="s">
        <v>1426</v>
      </c>
    </row>
    <row r="2" spans="1:6" ht="17.5">
      <c r="A2" s="1007" t="s">
        <v>1470</v>
      </c>
      <c r="B2" s="1007"/>
      <c r="C2" s="1007"/>
    </row>
    <row r="3" spans="1:6" ht="18" customHeight="1">
      <c r="D3" s="260"/>
      <c r="E3" s="260"/>
      <c r="F3" s="260"/>
    </row>
    <row r="4" spans="1:6">
      <c r="A4" s="261" t="s">
        <v>11</v>
      </c>
      <c r="B4" s="261" t="s">
        <v>36</v>
      </c>
      <c r="C4" s="261" t="s">
        <v>377</v>
      </c>
    </row>
    <row r="5" spans="1:6" ht="24">
      <c r="A5" s="262" t="s">
        <v>6</v>
      </c>
      <c r="B5" s="263" t="s">
        <v>1442</v>
      </c>
      <c r="C5" s="262" t="s">
        <v>1443</v>
      </c>
    </row>
    <row r="6" spans="1:6" ht="25.5" customHeight="1">
      <c r="A6" s="262" t="s">
        <v>6</v>
      </c>
      <c r="B6" s="263" t="s">
        <v>1444</v>
      </c>
      <c r="C6" s="262" t="s">
        <v>1445</v>
      </c>
    </row>
    <row r="7" spans="1:6" ht="25.5" customHeight="1">
      <c r="A7" s="262" t="s">
        <v>6</v>
      </c>
      <c r="B7" s="263" t="s">
        <v>1446</v>
      </c>
      <c r="C7" s="262" t="s">
        <v>1447</v>
      </c>
    </row>
    <row r="8" spans="1:6" ht="24">
      <c r="A8" s="262" t="s">
        <v>6</v>
      </c>
      <c r="B8" s="263" t="s">
        <v>1448</v>
      </c>
      <c r="C8" s="262" t="s">
        <v>1449</v>
      </c>
    </row>
    <row r="9" spans="1:6" ht="25.5" customHeight="1">
      <c r="A9" s="262" t="s">
        <v>6</v>
      </c>
      <c r="B9" s="263" t="s">
        <v>1450</v>
      </c>
      <c r="C9" s="262" t="s">
        <v>1451</v>
      </c>
    </row>
    <row r="10" spans="1:6">
      <c r="A10" s="262" t="s">
        <v>6</v>
      </c>
      <c r="B10" s="262" t="s">
        <v>1452</v>
      </c>
      <c r="C10" s="262" t="s">
        <v>1447</v>
      </c>
    </row>
    <row r="11" spans="1:6" ht="23">
      <c r="A11" s="263" t="s">
        <v>7</v>
      </c>
      <c r="B11" s="263" t="s">
        <v>905</v>
      </c>
      <c r="C11" s="263" t="s">
        <v>38</v>
      </c>
    </row>
    <row r="12" spans="1:6">
      <c r="A12" s="263" t="s">
        <v>7</v>
      </c>
      <c r="B12" s="263" t="s">
        <v>1453</v>
      </c>
      <c r="C12" s="263" t="s">
        <v>1454</v>
      </c>
    </row>
    <row r="13" spans="1:6" ht="24">
      <c r="A13" s="262" t="s">
        <v>1455</v>
      </c>
      <c r="B13" s="263" t="s">
        <v>928</v>
      </c>
      <c r="C13" s="262" t="s">
        <v>38</v>
      </c>
    </row>
    <row r="14" spans="1:6" ht="26.25" customHeight="1">
      <c r="A14" s="262" t="s">
        <v>1455</v>
      </c>
      <c r="B14" s="263" t="s">
        <v>934</v>
      </c>
      <c r="C14" s="262" t="s">
        <v>37</v>
      </c>
    </row>
    <row r="15" spans="1:6" ht="24">
      <c r="A15" s="262" t="s">
        <v>1456</v>
      </c>
      <c r="B15" s="262" t="s">
        <v>787</v>
      </c>
      <c r="C15" s="262" t="s">
        <v>37</v>
      </c>
    </row>
    <row r="16" spans="1:6">
      <c r="A16" s="262" t="s">
        <v>4</v>
      </c>
      <c r="B16" s="263" t="s">
        <v>918</v>
      </c>
      <c r="C16" s="263" t="s">
        <v>37</v>
      </c>
    </row>
    <row r="17" spans="1:3">
      <c r="A17" s="262" t="s">
        <v>4</v>
      </c>
      <c r="B17" s="263" t="s">
        <v>924</v>
      </c>
      <c r="C17" s="263" t="s">
        <v>37</v>
      </c>
    </row>
    <row r="18" spans="1:3" ht="35.5">
      <c r="A18" s="262" t="s">
        <v>1898</v>
      </c>
      <c r="B18" s="262" t="s">
        <v>1457</v>
      </c>
      <c r="C18" s="262" t="s">
        <v>37</v>
      </c>
    </row>
    <row r="19" spans="1:3" ht="24">
      <c r="A19" s="262" t="s">
        <v>1458</v>
      </c>
      <c r="B19" s="262" t="s">
        <v>1459</v>
      </c>
      <c r="C19" s="262" t="s">
        <v>37</v>
      </c>
    </row>
    <row r="20" spans="1:3">
      <c r="A20" s="262" t="s">
        <v>1458</v>
      </c>
      <c r="B20" s="262" t="s">
        <v>1460</v>
      </c>
      <c r="C20" s="262" t="s">
        <v>37</v>
      </c>
    </row>
    <row r="21" spans="1:3">
      <c r="A21" s="262" t="s">
        <v>1458</v>
      </c>
      <c r="B21" s="262" t="s">
        <v>362</v>
      </c>
      <c r="C21" s="262" t="s">
        <v>37</v>
      </c>
    </row>
    <row r="22" spans="1:3">
      <c r="A22" s="262" t="s">
        <v>1458</v>
      </c>
      <c r="B22" s="262" t="s">
        <v>1461</v>
      </c>
      <c r="C22" s="262" t="s">
        <v>37</v>
      </c>
    </row>
    <row r="23" spans="1:3">
      <c r="A23" s="262" t="s">
        <v>1458</v>
      </c>
      <c r="B23" s="262" t="s">
        <v>1462</v>
      </c>
      <c r="C23" s="262" t="s">
        <v>37</v>
      </c>
    </row>
    <row r="24" spans="1:3">
      <c r="A24" s="262" t="s">
        <v>1381</v>
      </c>
      <c r="B24" s="262" t="s">
        <v>1463</v>
      </c>
      <c r="C24" s="262" t="s">
        <v>37</v>
      </c>
    </row>
    <row r="25" spans="1:3">
      <c r="A25" s="262" t="s">
        <v>16</v>
      </c>
      <c r="B25" s="262" t="s">
        <v>957</v>
      </c>
      <c r="C25" s="262" t="s">
        <v>37</v>
      </c>
    </row>
    <row r="26" spans="1:3">
      <c r="A26" s="262" t="s">
        <v>15</v>
      </c>
      <c r="B26" s="262" t="s">
        <v>893</v>
      </c>
      <c r="C26" s="262" t="s">
        <v>37</v>
      </c>
    </row>
    <row r="27" spans="1:3">
      <c r="A27" s="262" t="s">
        <v>15</v>
      </c>
      <c r="B27" s="262" t="s">
        <v>1464</v>
      </c>
      <c r="C27" s="262" t="s">
        <v>1465</v>
      </c>
    </row>
    <row r="28" spans="1:3" ht="15" customHeight="1">
      <c r="A28" s="262" t="s">
        <v>378</v>
      </c>
      <c r="B28" s="262" t="s">
        <v>886</v>
      </c>
      <c r="C28" s="262" t="s">
        <v>38</v>
      </c>
    </row>
    <row r="29" spans="1:3">
      <c r="A29" s="262" t="s">
        <v>378</v>
      </c>
      <c r="B29" s="262" t="s">
        <v>29</v>
      </c>
      <c r="C29" s="262" t="s">
        <v>38</v>
      </c>
    </row>
    <row r="30" spans="1:3" ht="24">
      <c r="A30" s="262" t="s">
        <v>5</v>
      </c>
      <c r="B30" s="370" t="s">
        <v>661</v>
      </c>
      <c r="C30" s="262" t="s">
        <v>38</v>
      </c>
    </row>
    <row r="31" spans="1:3" ht="24">
      <c r="A31" s="370" t="s">
        <v>5</v>
      </c>
      <c r="B31" s="370" t="s">
        <v>662</v>
      </c>
      <c r="C31" s="370" t="s">
        <v>38</v>
      </c>
    </row>
    <row r="32" spans="1:3">
      <c r="A32" s="370" t="s">
        <v>5</v>
      </c>
      <c r="B32" s="370" t="s">
        <v>1466</v>
      </c>
      <c r="C32" s="370" t="s">
        <v>38</v>
      </c>
    </row>
  </sheetData>
  <mergeCells count="1">
    <mergeCell ref="A2:C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F76DD-F251-41CC-A67B-3EBA2ABA981D}">
  <dimension ref="A1:E7"/>
  <sheetViews>
    <sheetView workbookViewId="0">
      <selection activeCell="E7" sqref="E7"/>
    </sheetView>
  </sheetViews>
  <sheetFormatPr defaultRowHeight="14.5"/>
  <cols>
    <col min="3" max="3" width="26.90625" style="9" customWidth="1"/>
    <col min="4" max="4" width="7.1796875" customWidth="1"/>
    <col min="5" max="5" width="36.6328125" customWidth="1"/>
  </cols>
  <sheetData>
    <row r="1" spans="1:5">
      <c r="A1" t="s">
        <v>17</v>
      </c>
      <c r="C1" s="9" t="s">
        <v>1665</v>
      </c>
      <c r="E1" t="s">
        <v>1046</v>
      </c>
    </row>
    <row r="2" spans="1:5">
      <c r="A2" t="s">
        <v>1659</v>
      </c>
      <c r="C2" s="9" t="s">
        <v>1664</v>
      </c>
      <c r="E2" t="s">
        <v>849</v>
      </c>
    </row>
    <row r="3" spans="1:5">
      <c r="A3" t="s">
        <v>1660</v>
      </c>
      <c r="C3" s="9" t="s">
        <v>1663</v>
      </c>
      <c r="E3" t="s">
        <v>1188</v>
      </c>
    </row>
    <row r="4" spans="1:5">
      <c r="C4" s="9" t="s">
        <v>1434</v>
      </c>
      <c r="E4" t="s">
        <v>10</v>
      </c>
    </row>
    <row r="5" spans="1:5">
      <c r="E5" t="s">
        <v>821</v>
      </c>
    </row>
    <row r="6" spans="1:5">
      <c r="E6" t="s">
        <v>1952</v>
      </c>
    </row>
    <row r="7" spans="1:5">
      <c r="E7" t="s">
        <v>1951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pageSetUpPr fitToPage="1"/>
  </sheetPr>
  <dimension ref="A1:N168"/>
  <sheetViews>
    <sheetView zoomScale="89" zoomScaleNormal="70" workbookViewId="0">
      <pane ySplit="3" topLeftCell="A102" activePane="bottomLeft" state="frozen"/>
      <selection activeCell="A2" sqref="A2"/>
      <selection pane="bottomLeft" activeCell="F107" sqref="F107"/>
    </sheetView>
  </sheetViews>
  <sheetFormatPr defaultColWidth="3" defaultRowHeight="13"/>
  <cols>
    <col min="1" max="1" width="3" style="102"/>
    <col min="2" max="3" width="7.6328125" style="42" customWidth="1"/>
    <col min="4" max="4" width="22.6328125" style="41" customWidth="1"/>
    <col min="5" max="5" width="22.6328125" style="44" customWidth="1"/>
    <col min="6" max="6" width="65.453125" style="41" customWidth="1"/>
    <col min="7" max="7" width="50.08984375" style="41" customWidth="1"/>
    <col min="8" max="8" width="55.453125" style="41" customWidth="1"/>
    <col min="9" max="9" width="26" style="34" customWidth="1"/>
    <col min="10" max="10" width="30.54296875" style="41" customWidth="1"/>
    <col min="11" max="11" width="12.90625" style="34" customWidth="1"/>
    <col min="12" max="12" width="14.36328125" style="97" customWidth="1"/>
    <col min="13" max="13" width="70" style="41" customWidth="1"/>
    <col min="14" max="14" width="61.08984375" style="41" customWidth="1"/>
    <col min="15" max="16384" width="3" style="41"/>
  </cols>
  <sheetData>
    <row r="1" spans="1:14" ht="28.75" customHeight="1">
      <c r="B1" s="256" t="s">
        <v>1467</v>
      </c>
    </row>
    <row r="2" spans="1:14" ht="28.25" customHeight="1">
      <c r="A2" s="37" t="s">
        <v>803</v>
      </c>
      <c r="E2" s="38"/>
      <c r="F2" s="43"/>
      <c r="G2" s="43"/>
      <c r="H2" s="43"/>
      <c r="I2" s="10"/>
      <c r="J2" s="43"/>
      <c r="K2" s="10"/>
      <c r="N2" s="100"/>
    </row>
    <row r="3" spans="1:14" s="45" customFormat="1" ht="29">
      <c r="A3" s="11"/>
      <c r="B3" s="12" t="s">
        <v>85</v>
      </c>
      <c r="C3" s="13" t="s">
        <v>732</v>
      </c>
      <c r="D3" s="14" t="s">
        <v>383</v>
      </c>
      <c r="E3" s="14" t="s">
        <v>384</v>
      </c>
      <c r="F3" s="14" t="s">
        <v>36</v>
      </c>
      <c r="G3" s="14" t="s">
        <v>139</v>
      </c>
      <c r="H3" s="14" t="s">
        <v>35</v>
      </c>
      <c r="I3" s="15" t="s">
        <v>512</v>
      </c>
      <c r="J3" s="16" t="s">
        <v>239</v>
      </c>
      <c r="K3" s="35" t="s">
        <v>796</v>
      </c>
      <c r="L3" s="17" t="s">
        <v>541</v>
      </c>
      <c r="M3" s="36" t="s">
        <v>780</v>
      </c>
      <c r="N3" s="101" t="s">
        <v>814</v>
      </c>
    </row>
    <row r="4" spans="1:14" ht="26">
      <c r="A4" s="37"/>
      <c r="B4" s="46" t="s">
        <v>9</v>
      </c>
      <c r="C4" s="47" t="s">
        <v>251</v>
      </c>
      <c r="D4" s="48" t="s">
        <v>351</v>
      </c>
      <c r="E4" s="48" t="s">
        <v>428</v>
      </c>
      <c r="F4" s="25" t="s">
        <v>227</v>
      </c>
      <c r="G4" s="25" t="s">
        <v>9</v>
      </c>
      <c r="H4" s="25" t="s">
        <v>9</v>
      </c>
      <c r="I4" s="18" t="s">
        <v>240</v>
      </c>
      <c r="J4" s="49"/>
      <c r="K4" s="18"/>
      <c r="L4" s="18" t="s">
        <v>24</v>
      </c>
      <c r="M4" s="25"/>
      <c r="N4" s="100"/>
    </row>
    <row r="5" spans="1:14">
      <c r="A5" s="37"/>
      <c r="B5" s="46"/>
      <c r="C5" s="47" t="s">
        <v>252</v>
      </c>
      <c r="D5" s="48" t="s">
        <v>397</v>
      </c>
      <c r="E5" s="48" t="s">
        <v>538</v>
      </c>
      <c r="F5" s="25" t="s">
        <v>130</v>
      </c>
      <c r="G5" s="25" t="s">
        <v>9</v>
      </c>
      <c r="H5" s="25" t="s">
        <v>9</v>
      </c>
      <c r="I5" s="18" t="s">
        <v>128</v>
      </c>
      <c r="J5" s="49"/>
      <c r="K5" s="18"/>
      <c r="L5" s="18" t="s">
        <v>24</v>
      </c>
      <c r="M5" s="25"/>
      <c r="N5" s="100"/>
    </row>
    <row r="6" spans="1:14" ht="25.5">
      <c r="A6" s="37"/>
      <c r="B6" s="46" t="s">
        <v>9</v>
      </c>
      <c r="C6" s="47" t="s">
        <v>253</v>
      </c>
      <c r="D6" s="48" t="s">
        <v>72</v>
      </c>
      <c r="E6" s="48" t="s">
        <v>538</v>
      </c>
      <c r="F6" s="25" t="s">
        <v>129</v>
      </c>
      <c r="G6" s="25" t="s">
        <v>9</v>
      </c>
      <c r="H6" s="25" t="s">
        <v>9</v>
      </c>
      <c r="I6" s="18" t="s">
        <v>352</v>
      </c>
      <c r="J6" s="49"/>
      <c r="K6" s="18" t="s">
        <v>60</v>
      </c>
      <c r="L6" s="18" t="s">
        <v>24</v>
      </c>
      <c r="M6" s="25"/>
      <c r="N6" s="100"/>
    </row>
    <row r="7" spans="1:14">
      <c r="A7" s="37"/>
      <c r="B7" s="46"/>
      <c r="C7" s="47" t="s">
        <v>254</v>
      </c>
      <c r="D7" s="48" t="s">
        <v>72</v>
      </c>
      <c r="E7" s="48" t="s">
        <v>428</v>
      </c>
      <c r="F7" s="25" t="s">
        <v>32</v>
      </c>
      <c r="G7" s="25" t="s">
        <v>9</v>
      </c>
      <c r="H7" s="25" t="s">
        <v>9</v>
      </c>
      <c r="I7" s="18" t="s">
        <v>763</v>
      </c>
      <c r="J7" s="49"/>
      <c r="K7" s="18"/>
      <c r="L7" s="18" t="s">
        <v>24</v>
      </c>
      <c r="M7" s="25"/>
      <c r="N7" s="100"/>
    </row>
    <row r="8" spans="1:14">
      <c r="A8" s="37"/>
      <c r="B8" s="46"/>
      <c r="C8" s="47" t="s">
        <v>255</v>
      </c>
      <c r="D8" s="48" t="s">
        <v>73</v>
      </c>
      <c r="E8" s="48" t="s">
        <v>428</v>
      </c>
      <c r="F8" s="25" t="s">
        <v>236</v>
      </c>
      <c r="G8" s="25" t="s">
        <v>9</v>
      </c>
      <c r="H8" s="25" t="s">
        <v>9</v>
      </c>
      <c r="I8" s="18" t="s">
        <v>71</v>
      </c>
      <c r="J8" s="49"/>
      <c r="K8" s="18"/>
      <c r="L8" s="18" t="s">
        <v>24</v>
      </c>
      <c r="M8" s="25"/>
      <c r="N8" s="100"/>
    </row>
    <row r="9" spans="1:14">
      <c r="A9" s="37"/>
      <c r="B9" s="46"/>
      <c r="C9" s="47" t="s">
        <v>256</v>
      </c>
      <c r="D9" s="48" t="s">
        <v>73</v>
      </c>
      <c r="E9" s="48" t="s">
        <v>428</v>
      </c>
      <c r="F9" s="25" t="s">
        <v>33</v>
      </c>
      <c r="G9" s="25" t="s">
        <v>9</v>
      </c>
      <c r="H9" s="25" t="s">
        <v>9</v>
      </c>
      <c r="I9" s="18" t="s">
        <v>228</v>
      </c>
      <c r="J9" s="49"/>
      <c r="K9" s="18"/>
      <c r="L9" s="18" t="s">
        <v>24</v>
      </c>
      <c r="M9" s="25"/>
      <c r="N9" s="100"/>
    </row>
    <row r="10" spans="1:14">
      <c r="A10" s="37"/>
      <c r="B10" s="46"/>
      <c r="C10" s="47" t="s">
        <v>599</v>
      </c>
      <c r="D10" s="48" t="s">
        <v>571</v>
      </c>
      <c r="E10" s="48" t="s">
        <v>428</v>
      </c>
      <c r="F10" s="25" t="s">
        <v>180</v>
      </c>
      <c r="G10" s="25" t="s">
        <v>181</v>
      </c>
      <c r="H10" s="25" t="s">
        <v>163</v>
      </c>
      <c r="I10" s="18" t="s">
        <v>37</v>
      </c>
      <c r="J10" s="49" t="s">
        <v>235</v>
      </c>
      <c r="K10" s="18"/>
      <c r="L10" s="18">
        <v>2</v>
      </c>
      <c r="M10" s="25"/>
      <c r="N10" s="100"/>
    </row>
    <row r="11" spans="1:14">
      <c r="A11" s="37"/>
      <c r="B11" s="46"/>
      <c r="C11" s="47" t="s">
        <v>600</v>
      </c>
      <c r="D11" s="48" t="s">
        <v>752</v>
      </c>
      <c r="E11" s="48" t="s">
        <v>428</v>
      </c>
      <c r="F11" s="25" t="s">
        <v>182</v>
      </c>
      <c r="G11" s="25" t="s">
        <v>183</v>
      </c>
      <c r="H11" s="25" t="s">
        <v>163</v>
      </c>
      <c r="I11" s="18" t="s">
        <v>37</v>
      </c>
      <c r="J11" s="49" t="s">
        <v>229</v>
      </c>
      <c r="K11" s="18"/>
      <c r="L11" s="18">
        <v>2</v>
      </c>
      <c r="M11" s="25"/>
      <c r="N11" s="100"/>
    </row>
    <row r="12" spans="1:14" ht="25.5">
      <c r="A12" s="37"/>
      <c r="B12" s="46"/>
      <c r="C12" s="47" t="s">
        <v>257</v>
      </c>
      <c r="D12" s="48" t="s">
        <v>751</v>
      </c>
      <c r="E12" s="48" t="s">
        <v>428</v>
      </c>
      <c r="F12" s="25" t="s">
        <v>80</v>
      </c>
      <c r="G12" s="25" t="s">
        <v>174</v>
      </c>
      <c r="H12" s="25" t="s">
        <v>177</v>
      </c>
      <c r="I12" s="18" t="s">
        <v>37</v>
      </c>
      <c r="J12" s="49" t="s">
        <v>542</v>
      </c>
      <c r="K12" s="18"/>
      <c r="L12" s="18" t="s">
        <v>24</v>
      </c>
      <c r="M12" s="25"/>
      <c r="N12" s="100"/>
    </row>
    <row r="13" spans="1:14" ht="38">
      <c r="A13" s="37"/>
      <c r="B13" s="46"/>
      <c r="C13" s="47" t="s">
        <v>258</v>
      </c>
      <c r="D13" s="48" t="s">
        <v>750</v>
      </c>
      <c r="E13" s="48" t="s">
        <v>428</v>
      </c>
      <c r="F13" s="25" t="s">
        <v>81</v>
      </c>
      <c r="G13" s="25" t="s">
        <v>175</v>
      </c>
      <c r="H13" s="25" t="s">
        <v>163</v>
      </c>
      <c r="I13" s="18" t="s">
        <v>37</v>
      </c>
      <c r="J13" s="49" t="s">
        <v>545</v>
      </c>
      <c r="K13" s="18"/>
      <c r="L13" s="18" t="s">
        <v>24</v>
      </c>
      <c r="M13" s="25"/>
      <c r="N13" s="100"/>
    </row>
    <row r="14" spans="1:14" ht="63">
      <c r="A14" s="37"/>
      <c r="B14" s="46" t="s">
        <v>10</v>
      </c>
      <c r="C14" s="47" t="s">
        <v>259</v>
      </c>
      <c r="D14" s="48" t="s">
        <v>749</v>
      </c>
      <c r="E14" s="48" t="s">
        <v>537</v>
      </c>
      <c r="F14" s="25" t="s">
        <v>601</v>
      </c>
      <c r="G14" s="25" t="s">
        <v>445</v>
      </c>
      <c r="H14" s="25" t="s">
        <v>178</v>
      </c>
      <c r="I14" s="18" t="s">
        <v>37</v>
      </c>
      <c r="J14" s="49" t="s">
        <v>549</v>
      </c>
      <c r="K14" s="18"/>
      <c r="L14" s="18">
        <v>3</v>
      </c>
      <c r="M14" s="25"/>
      <c r="N14" s="100"/>
    </row>
    <row r="15" spans="1:14" ht="38">
      <c r="A15" s="37"/>
      <c r="B15" s="46" t="s">
        <v>86</v>
      </c>
      <c r="C15" s="47" t="s">
        <v>602</v>
      </c>
      <c r="D15" s="48" t="s">
        <v>748</v>
      </c>
      <c r="E15" s="48" t="s">
        <v>521</v>
      </c>
      <c r="F15" s="25" t="s">
        <v>604</v>
      </c>
      <c r="G15" s="25" t="s">
        <v>176</v>
      </c>
      <c r="H15" s="25" t="s">
        <v>179</v>
      </c>
      <c r="I15" s="18" t="s">
        <v>37</v>
      </c>
      <c r="J15" s="49" t="s">
        <v>551</v>
      </c>
      <c r="K15" s="18"/>
      <c r="L15" s="18">
        <v>3</v>
      </c>
      <c r="M15" s="25" t="s">
        <v>782</v>
      </c>
      <c r="N15" s="100"/>
    </row>
    <row r="16" spans="1:14" ht="38">
      <c r="A16" s="37"/>
      <c r="B16" s="46"/>
      <c r="C16" s="47" t="s">
        <v>603</v>
      </c>
      <c r="D16" s="48" t="s">
        <v>629</v>
      </c>
      <c r="E16" s="48" t="s">
        <v>734</v>
      </c>
      <c r="F16" s="25" t="s">
        <v>605</v>
      </c>
      <c r="G16" s="25" t="s">
        <v>448</v>
      </c>
      <c r="H16" s="25" t="s">
        <v>243</v>
      </c>
      <c r="I16" s="18" t="s">
        <v>37</v>
      </c>
      <c r="J16" s="49" t="s">
        <v>552</v>
      </c>
      <c r="K16" s="18"/>
      <c r="L16" s="18">
        <v>3</v>
      </c>
      <c r="M16" s="25" t="s">
        <v>783</v>
      </c>
      <c r="N16" s="100"/>
    </row>
    <row r="17" spans="1:14" ht="63">
      <c r="A17" s="37"/>
      <c r="B17" s="46"/>
      <c r="C17" s="47" t="s">
        <v>628</v>
      </c>
      <c r="D17" s="48" t="s">
        <v>626</v>
      </c>
      <c r="E17" s="48" t="s">
        <v>520</v>
      </c>
      <c r="F17" s="25" t="s">
        <v>625</v>
      </c>
      <c r="G17" s="25" t="s">
        <v>449</v>
      </c>
      <c r="H17" s="25" t="s">
        <v>450</v>
      </c>
      <c r="I17" s="18" t="s">
        <v>37</v>
      </c>
      <c r="J17" s="49"/>
      <c r="K17" s="18"/>
      <c r="L17" s="18">
        <v>2</v>
      </c>
      <c r="M17" s="25"/>
      <c r="N17" s="100"/>
    </row>
    <row r="18" spans="1:14" ht="26">
      <c r="A18" s="37"/>
      <c r="B18" s="46"/>
      <c r="C18" s="47" t="s">
        <v>717</v>
      </c>
      <c r="D18" s="48" t="s">
        <v>627</v>
      </c>
      <c r="E18" s="48" t="s">
        <v>467</v>
      </c>
      <c r="F18" s="50" t="s">
        <v>398</v>
      </c>
      <c r="G18" s="50" t="s">
        <v>375</v>
      </c>
      <c r="H18" s="25"/>
      <c r="I18" s="18"/>
      <c r="J18" s="49"/>
      <c r="K18" s="18"/>
      <c r="L18" s="18">
        <v>1</v>
      </c>
      <c r="M18" s="25" t="s">
        <v>781</v>
      </c>
      <c r="N18" s="100"/>
    </row>
    <row r="19" spans="1:14" ht="38">
      <c r="A19" s="37"/>
      <c r="B19" s="46"/>
      <c r="C19" s="47" t="s">
        <v>606</v>
      </c>
      <c r="D19" s="48" t="s">
        <v>747</v>
      </c>
      <c r="E19" s="48" t="s">
        <v>467</v>
      </c>
      <c r="F19" s="25" t="s">
        <v>185</v>
      </c>
      <c r="G19" s="25" t="s">
        <v>186</v>
      </c>
      <c r="H19" s="51" t="s">
        <v>718</v>
      </c>
      <c r="I19" s="18" t="s">
        <v>38</v>
      </c>
      <c r="J19" s="49" t="s">
        <v>558</v>
      </c>
      <c r="K19" s="18"/>
      <c r="L19" s="18">
        <v>3</v>
      </c>
      <c r="M19" s="25"/>
      <c r="N19" s="100"/>
    </row>
    <row r="20" spans="1:14" ht="88">
      <c r="A20" s="37"/>
      <c r="B20" s="46"/>
      <c r="C20" s="47" t="s">
        <v>607</v>
      </c>
      <c r="D20" s="48" t="s">
        <v>660</v>
      </c>
      <c r="E20" s="48" t="s">
        <v>522</v>
      </c>
      <c r="F20" s="25" t="s">
        <v>608</v>
      </c>
      <c r="G20" s="25" t="s">
        <v>609</v>
      </c>
      <c r="H20" s="25" t="s">
        <v>358</v>
      </c>
      <c r="I20" s="18"/>
      <c r="J20" s="49"/>
      <c r="K20" s="18"/>
      <c r="L20" s="18">
        <v>1</v>
      </c>
      <c r="M20" s="25"/>
      <c r="N20" s="100"/>
    </row>
    <row r="21" spans="1:14" ht="175.5">
      <c r="A21" s="37"/>
      <c r="B21" s="46"/>
      <c r="C21" s="47" t="s">
        <v>668</v>
      </c>
      <c r="D21" s="48" t="s">
        <v>575</v>
      </c>
      <c r="E21" s="48" t="s">
        <v>733</v>
      </c>
      <c r="F21" s="25" t="s">
        <v>577</v>
      </c>
      <c r="G21" s="25" t="s">
        <v>666</v>
      </c>
      <c r="H21" s="25" t="s">
        <v>667</v>
      </c>
      <c r="I21" s="18" t="s">
        <v>37</v>
      </c>
      <c r="J21" s="49" t="s">
        <v>550</v>
      </c>
      <c r="K21" s="18"/>
      <c r="L21" s="18">
        <v>2</v>
      </c>
      <c r="M21" s="25" t="s">
        <v>556</v>
      </c>
      <c r="N21" s="100" t="s">
        <v>813</v>
      </c>
    </row>
    <row r="22" spans="1:14" ht="26">
      <c r="A22" s="37"/>
      <c r="B22" s="46"/>
      <c r="C22" s="47" t="s">
        <v>716</v>
      </c>
      <c r="D22" s="48" t="s">
        <v>753</v>
      </c>
      <c r="E22" s="48" t="s">
        <v>519</v>
      </c>
      <c r="F22" s="25" t="s">
        <v>192</v>
      </c>
      <c r="G22" s="25" t="s">
        <v>193</v>
      </c>
      <c r="H22" s="25" t="s">
        <v>488</v>
      </c>
      <c r="I22" s="18" t="s">
        <v>37</v>
      </c>
      <c r="J22" s="49"/>
      <c r="K22" s="18"/>
      <c r="L22" s="18">
        <v>2</v>
      </c>
      <c r="M22" s="25"/>
      <c r="N22" s="100"/>
    </row>
    <row r="23" spans="1:14" ht="26">
      <c r="A23" s="37"/>
      <c r="B23" s="46"/>
      <c r="C23" s="47" t="s">
        <v>572</v>
      </c>
      <c r="D23" s="48" t="s">
        <v>753</v>
      </c>
      <c r="E23" s="48" t="s">
        <v>428</v>
      </c>
      <c r="F23" s="25" t="s">
        <v>435</v>
      </c>
      <c r="G23" s="25" t="s">
        <v>437</v>
      </c>
      <c r="H23" s="25" t="s">
        <v>424</v>
      </c>
      <c r="I23" s="18" t="s">
        <v>37</v>
      </c>
      <c r="J23" s="49"/>
      <c r="K23" s="18"/>
      <c r="L23" s="18" t="s">
        <v>9</v>
      </c>
      <c r="M23" s="25"/>
      <c r="N23" s="100"/>
    </row>
    <row r="24" spans="1:14" ht="26">
      <c r="A24" s="37"/>
      <c r="B24" s="46"/>
      <c r="C24" s="47" t="s">
        <v>572</v>
      </c>
      <c r="D24" s="48" t="s">
        <v>753</v>
      </c>
      <c r="E24" s="48" t="s">
        <v>428</v>
      </c>
      <c r="F24" s="25" t="s">
        <v>439</v>
      </c>
      <c r="G24" s="25" t="s">
        <v>442</v>
      </c>
      <c r="H24" s="25" t="s">
        <v>424</v>
      </c>
      <c r="I24" s="18" t="s">
        <v>37</v>
      </c>
      <c r="J24" s="49"/>
      <c r="K24" s="18"/>
      <c r="L24" s="18" t="s">
        <v>9</v>
      </c>
      <c r="M24" s="25"/>
      <c r="N24" s="100"/>
    </row>
    <row r="25" spans="1:14" ht="26">
      <c r="A25" s="37"/>
      <c r="B25" s="46"/>
      <c r="C25" s="47" t="s">
        <v>572</v>
      </c>
      <c r="D25" s="48" t="s">
        <v>753</v>
      </c>
      <c r="E25" s="48" t="s">
        <v>428</v>
      </c>
      <c r="F25" s="25" t="s">
        <v>440</v>
      </c>
      <c r="G25" s="25" t="s">
        <v>443</v>
      </c>
      <c r="H25" s="25" t="s">
        <v>424</v>
      </c>
      <c r="I25" s="18" t="s">
        <v>37</v>
      </c>
      <c r="J25" s="49" t="s">
        <v>544</v>
      </c>
      <c r="K25" s="18"/>
      <c r="L25" s="18" t="s">
        <v>9</v>
      </c>
      <c r="M25" s="25"/>
      <c r="N25" s="100"/>
    </row>
    <row r="26" spans="1:14" ht="26">
      <c r="A26" s="37"/>
      <c r="B26" s="46"/>
      <c r="C26" s="47" t="s">
        <v>572</v>
      </c>
      <c r="D26" s="48" t="s">
        <v>753</v>
      </c>
      <c r="E26" s="48" t="s">
        <v>428</v>
      </c>
      <c r="F26" s="25" t="s">
        <v>441</v>
      </c>
      <c r="G26" s="25" t="s">
        <v>442</v>
      </c>
      <c r="H26" s="25" t="s">
        <v>424</v>
      </c>
      <c r="I26" s="18" t="s">
        <v>37</v>
      </c>
      <c r="J26" s="49"/>
      <c r="K26" s="18"/>
      <c r="L26" s="18" t="s">
        <v>9</v>
      </c>
      <c r="M26" s="25"/>
      <c r="N26" s="100"/>
    </row>
    <row r="27" spans="1:14" ht="26">
      <c r="A27" s="37"/>
      <c r="B27" s="46"/>
      <c r="C27" s="47" t="s">
        <v>573</v>
      </c>
      <c r="D27" s="48" t="s">
        <v>753</v>
      </c>
      <c r="E27" s="48" t="s">
        <v>428</v>
      </c>
      <c r="F27" s="25" t="s">
        <v>436</v>
      </c>
      <c r="G27" s="25" t="s">
        <v>438</v>
      </c>
      <c r="H27" s="25" t="s">
        <v>424</v>
      </c>
      <c r="I27" s="18" t="s">
        <v>37</v>
      </c>
      <c r="J27" s="49"/>
      <c r="K27" s="18"/>
      <c r="L27" s="18">
        <v>2</v>
      </c>
      <c r="M27" s="25"/>
      <c r="N27" s="100"/>
    </row>
    <row r="28" spans="1:14" ht="63">
      <c r="A28" s="37"/>
      <c r="B28" s="46"/>
      <c r="C28" s="47" t="s">
        <v>574</v>
      </c>
      <c r="D28" s="48" t="s">
        <v>575</v>
      </c>
      <c r="E28" s="48" t="s">
        <v>428</v>
      </c>
      <c r="F28" s="25" t="s">
        <v>578</v>
      </c>
      <c r="G28" s="25" t="s">
        <v>444</v>
      </c>
      <c r="H28" s="25" t="s">
        <v>576</v>
      </c>
      <c r="I28" s="18" t="s">
        <v>38</v>
      </c>
      <c r="J28" s="49"/>
      <c r="K28" s="18"/>
      <c r="L28" s="18">
        <v>4</v>
      </c>
      <c r="M28" s="25"/>
      <c r="N28" s="100"/>
    </row>
    <row r="29" spans="1:14" ht="25.5">
      <c r="A29" s="37"/>
      <c r="B29" s="46"/>
      <c r="C29" s="47" t="s">
        <v>262</v>
      </c>
      <c r="D29" s="48" t="s">
        <v>575</v>
      </c>
      <c r="E29" s="48" t="s">
        <v>428</v>
      </c>
      <c r="F29" s="25" t="s">
        <v>219</v>
      </c>
      <c r="G29" s="25" t="s">
        <v>220</v>
      </c>
      <c r="H29" s="25" t="s">
        <v>226</v>
      </c>
      <c r="I29" s="18" t="s">
        <v>38</v>
      </c>
      <c r="J29" s="49"/>
      <c r="K29" s="18"/>
      <c r="L29" s="18">
        <v>4</v>
      </c>
      <c r="M29" s="25"/>
      <c r="N29" s="100"/>
    </row>
    <row r="30" spans="1:14" ht="25.5">
      <c r="A30" s="37"/>
      <c r="B30" s="46"/>
      <c r="C30" s="47" t="s">
        <v>263</v>
      </c>
      <c r="D30" s="48" t="s">
        <v>575</v>
      </c>
      <c r="E30" s="48" t="s">
        <v>428</v>
      </c>
      <c r="F30" s="25" t="s">
        <v>221</v>
      </c>
      <c r="G30" s="25" t="s">
        <v>222</v>
      </c>
      <c r="H30" s="25" t="s">
        <v>22</v>
      </c>
      <c r="I30" s="18" t="s">
        <v>38</v>
      </c>
      <c r="J30" s="49"/>
      <c r="K30" s="18"/>
      <c r="L30" s="18">
        <v>4</v>
      </c>
      <c r="M30" s="25"/>
      <c r="N30" s="100"/>
    </row>
    <row r="31" spans="1:14" ht="50.5">
      <c r="A31" s="37"/>
      <c r="B31" s="46"/>
      <c r="C31" s="47" t="s">
        <v>264</v>
      </c>
      <c r="D31" s="48" t="s">
        <v>570</v>
      </c>
      <c r="E31" s="48" t="s">
        <v>428</v>
      </c>
      <c r="F31" s="25" t="s">
        <v>223</v>
      </c>
      <c r="G31" s="25" t="s">
        <v>224</v>
      </c>
      <c r="H31" s="25" t="s">
        <v>214</v>
      </c>
      <c r="I31" s="18" t="s">
        <v>37</v>
      </c>
      <c r="J31" s="49"/>
      <c r="K31" s="18"/>
      <c r="L31" s="18">
        <v>4</v>
      </c>
      <c r="M31" s="25" t="s">
        <v>791</v>
      </c>
      <c r="N31" s="100"/>
    </row>
    <row r="32" spans="1:14" ht="76.5">
      <c r="A32" s="37"/>
      <c r="B32" s="46" t="s">
        <v>9</v>
      </c>
      <c r="C32" s="47" t="s">
        <v>579</v>
      </c>
      <c r="D32" s="48" t="s">
        <v>570</v>
      </c>
      <c r="E32" s="48" t="s">
        <v>518</v>
      </c>
      <c r="F32" s="25" t="s">
        <v>42</v>
      </c>
      <c r="G32" s="25" t="s">
        <v>140</v>
      </c>
      <c r="H32" s="25" t="s">
        <v>565</v>
      </c>
      <c r="I32" s="18" t="s">
        <v>57</v>
      </c>
      <c r="J32" s="49"/>
      <c r="K32" s="18" t="s">
        <v>60</v>
      </c>
      <c r="L32" s="18">
        <v>4</v>
      </c>
      <c r="M32" s="25" t="s">
        <v>400</v>
      </c>
      <c r="N32" s="100"/>
    </row>
    <row r="33" spans="1:14" ht="76.5">
      <c r="A33" s="37"/>
      <c r="B33" s="46"/>
      <c r="C33" s="47" t="s">
        <v>265</v>
      </c>
      <c r="D33" s="48" t="s">
        <v>570</v>
      </c>
      <c r="E33" s="48" t="s">
        <v>428</v>
      </c>
      <c r="F33" s="25" t="s">
        <v>76</v>
      </c>
      <c r="G33" s="25" t="s">
        <v>141</v>
      </c>
      <c r="H33" s="25" t="s">
        <v>566</v>
      </c>
      <c r="I33" s="18" t="s">
        <v>37</v>
      </c>
      <c r="J33" s="49"/>
      <c r="K33" s="18"/>
      <c r="L33" s="18">
        <v>2</v>
      </c>
      <c r="M33" s="25" t="s">
        <v>798</v>
      </c>
      <c r="N33" s="100"/>
    </row>
    <row r="34" spans="1:14" ht="76.5">
      <c r="A34" s="37"/>
      <c r="B34" s="46"/>
      <c r="C34" s="47" t="s">
        <v>580</v>
      </c>
      <c r="D34" s="48" t="s">
        <v>570</v>
      </c>
      <c r="E34" s="48" t="s">
        <v>428</v>
      </c>
      <c r="F34" s="25" t="s">
        <v>77</v>
      </c>
      <c r="G34" s="25" t="s">
        <v>142</v>
      </c>
      <c r="H34" s="25" t="s">
        <v>566</v>
      </c>
      <c r="I34" s="18" t="s">
        <v>37</v>
      </c>
      <c r="J34" s="49"/>
      <c r="K34" s="18"/>
      <c r="L34" s="18">
        <v>4</v>
      </c>
      <c r="M34" s="25" t="s">
        <v>798</v>
      </c>
      <c r="N34" s="100"/>
    </row>
    <row r="35" spans="1:14" ht="200.5">
      <c r="A35" s="37"/>
      <c r="B35" s="46"/>
      <c r="C35" s="47" t="s">
        <v>583</v>
      </c>
      <c r="D35" s="48" t="s">
        <v>570</v>
      </c>
      <c r="E35" s="48" t="s">
        <v>428</v>
      </c>
      <c r="F35" s="25" t="s">
        <v>458</v>
      </c>
      <c r="G35" s="25" t="s">
        <v>459</v>
      </c>
      <c r="H35" s="25" t="s">
        <v>460</v>
      </c>
      <c r="I35" s="18"/>
      <c r="J35" s="49"/>
      <c r="K35" s="18"/>
      <c r="L35" s="18"/>
      <c r="M35" s="25"/>
      <c r="N35" s="100"/>
    </row>
    <row r="36" spans="1:14" ht="313">
      <c r="A36" s="37"/>
      <c r="B36" s="46"/>
      <c r="C36" s="47" t="s">
        <v>584</v>
      </c>
      <c r="D36" s="48" t="s">
        <v>570</v>
      </c>
      <c r="E36" s="48" t="s">
        <v>428</v>
      </c>
      <c r="F36" s="25" t="s">
        <v>454</v>
      </c>
      <c r="G36" s="25" t="s">
        <v>169</v>
      </c>
      <c r="H36" s="25" t="s">
        <v>452</v>
      </c>
      <c r="I36" s="18" t="s">
        <v>37</v>
      </c>
      <c r="J36" s="49"/>
      <c r="K36" s="18"/>
      <c r="L36" s="18" t="s">
        <v>761</v>
      </c>
      <c r="M36" s="25" t="s">
        <v>557</v>
      </c>
      <c r="N36" s="100"/>
    </row>
    <row r="37" spans="1:14" ht="313">
      <c r="A37" s="37"/>
      <c r="B37" s="46"/>
      <c r="C37" s="47" t="s">
        <v>585</v>
      </c>
      <c r="D37" s="48" t="s">
        <v>570</v>
      </c>
      <c r="E37" s="48" t="s">
        <v>517</v>
      </c>
      <c r="F37" s="25" t="s">
        <v>27</v>
      </c>
      <c r="G37" s="25" t="s">
        <v>169</v>
      </c>
      <c r="H37" s="25" t="s">
        <v>452</v>
      </c>
      <c r="I37" s="18" t="s">
        <v>37</v>
      </c>
      <c r="J37" s="49" t="s">
        <v>563</v>
      </c>
      <c r="K37" s="18"/>
      <c r="L37" s="18">
        <v>3</v>
      </c>
      <c r="M37" s="25"/>
      <c r="N37" s="100"/>
    </row>
    <row r="38" spans="1:14" ht="313">
      <c r="A38" s="37"/>
      <c r="B38" s="46"/>
      <c r="C38" s="47" t="s">
        <v>586</v>
      </c>
      <c r="D38" s="48" t="s">
        <v>570</v>
      </c>
      <c r="E38" s="48" t="s">
        <v>735</v>
      </c>
      <c r="F38" s="25" t="s">
        <v>455</v>
      </c>
      <c r="G38" s="25" t="s">
        <v>169</v>
      </c>
      <c r="H38" s="25" t="s">
        <v>452</v>
      </c>
      <c r="I38" s="18" t="s">
        <v>37</v>
      </c>
      <c r="J38" s="49"/>
      <c r="K38" s="18"/>
      <c r="L38" s="18">
        <v>3</v>
      </c>
      <c r="M38" s="25"/>
      <c r="N38" s="100"/>
    </row>
    <row r="39" spans="1:14" ht="76.5">
      <c r="A39" s="37"/>
      <c r="B39" s="46"/>
      <c r="C39" s="47" t="s">
        <v>581</v>
      </c>
      <c r="D39" s="48" t="s">
        <v>570</v>
      </c>
      <c r="E39" s="48" t="s">
        <v>428</v>
      </c>
      <c r="F39" s="25" t="s">
        <v>78</v>
      </c>
      <c r="G39" s="25" t="s">
        <v>141</v>
      </c>
      <c r="H39" s="25" t="s">
        <v>567</v>
      </c>
      <c r="I39" s="18" t="s">
        <v>37</v>
      </c>
      <c r="J39" s="49"/>
      <c r="K39" s="18"/>
      <c r="L39" s="18">
        <v>2</v>
      </c>
      <c r="M39" s="25" t="s">
        <v>401</v>
      </c>
      <c r="N39" s="100"/>
    </row>
    <row r="40" spans="1:14" ht="76.5">
      <c r="A40" s="37"/>
      <c r="B40" s="46"/>
      <c r="C40" s="47" t="s">
        <v>582</v>
      </c>
      <c r="D40" s="48" t="s">
        <v>570</v>
      </c>
      <c r="E40" s="48" t="s">
        <v>428</v>
      </c>
      <c r="F40" s="25" t="s">
        <v>79</v>
      </c>
      <c r="G40" s="25" t="s">
        <v>143</v>
      </c>
      <c r="H40" s="25" t="s">
        <v>568</v>
      </c>
      <c r="I40" s="18" t="s">
        <v>37</v>
      </c>
      <c r="J40" s="49"/>
      <c r="K40" s="18"/>
      <c r="L40" s="18">
        <v>4</v>
      </c>
      <c r="M40" s="25" t="s">
        <v>401</v>
      </c>
      <c r="N40" s="100"/>
    </row>
    <row r="41" spans="1:14" ht="113">
      <c r="A41" s="37"/>
      <c r="B41" s="46"/>
      <c r="C41" s="47" t="s">
        <v>266</v>
      </c>
      <c r="D41" s="48" t="s">
        <v>570</v>
      </c>
      <c r="E41" s="48" t="s">
        <v>428</v>
      </c>
      <c r="F41" s="25" t="s">
        <v>457</v>
      </c>
      <c r="G41" s="25" t="s">
        <v>456</v>
      </c>
      <c r="H41" s="25" t="s">
        <v>451</v>
      </c>
      <c r="I41" s="18" t="s">
        <v>37</v>
      </c>
      <c r="J41" s="49"/>
      <c r="K41" s="18"/>
      <c r="L41" s="18">
        <v>4</v>
      </c>
      <c r="M41" s="25" t="s">
        <v>401</v>
      </c>
      <c r="N41" s="100"/>
    </row>
    <row r="42" spans="1:14" ht="225.5">
      <c r="A42" s="37"/>
      <c r="B42" s="52" t="s">
        <v>94</v>
      </c>
      <c r="C42" s="53" t="s">
        <v>268</v>
      </c>
      <c r="D42" s="54" t="s">
        <v>642</v>
      </c>
      <c r="E42" s="54" t="s">
        <v>516</v>
      </c>
      <c r="F42" s="20" t="s">
        <v>645</v>
      </c>
      <c r="G42" s="20" t="s">
        <v>754</v>
      </c>
      <c r="H42" s="20" t="s">
        <v>648</v>
      </c>
      <c r="I42" s="19" t="s">
        <v>37</v>
      </c>
      <c r="J42" s="55" t="s">
        <v>39</v>
      </c>
      <c r="K42" s="19" t="s">
        <v>60</v>
      </c>
      <c r="L42" s="19" t="s">
        <v>793</v>
      </c>
      <c r="M42" s="20" t="s">
        <v>799</v>
      </c>
      <c r="N42" s="100" t="s">
        <v>809</v>
      </c>
    </row>
    <row r="43" spans="1:14" ht="225.5">
      <c r="A43" s="37"/>
      <c r="B43" s="52" t="s">
        <v>94</v>
      </c>
      <c r="C43" s="53" t="s">
        <v>640</v>
      </c>
      <c r="D43" s="54" t="s">
        <v>643</v>
      </c>
      <c r="E43" s="54" t="s">
        <v>516</v>
      </c>
      <c r="F43" s="20" t="s">
        <v>646</v>
      </c>
      <c r="G43" s="20" t="s">
        <v>754</v>
      </c>
      <c r="H43" s="20" t="s">
        <v>648</v>
      </c>
      <c r="I43" s="19" t="s">
        <v>38</v>
      </c>
      <c r="J43" s="55" t="s">
        <v>559</v>
      </c>
      <c r="K43" s="19" t="s">
        <v>60</v>
      </c>
      <c r="L43" s="19" t="s">
        <v>793</v>
      </c>
      <c r="M43" s="20" t="s">
        <v>800</v>
      </c>
      <c r="N43" s="100" t="s">
        <v>809</v>
      </c>
    </row>
    <row r="44" spans="1:14" ht="225.5">
      <c r="A44" s="37"/>
      <c r="B44" s="52" t="s">
        <v>94</v>
      </c>
      <c r="C44" s="53" t="s">
        <v>641</v>
      </c>
      <c r="D44" s="54" t="s">
        <v>644</v>
      </c>
      <c r="E44" s="54" t="s">
        <v>516</v>
      </c>
      <c r="F44" s="20" t="s">
        <v>647</v>
      </c>
      <c r="G44" s="20" t="s">
        <v>754</v>
      </c>
      <c r="H44" s="20" t="s">
        <v>648</v>
      </c>
      <c r="I44" s="19" t="s">
        <v>37</v>
      </c>
      <c r="J44" s="55" t="s">
        <v>560</v>
      </c>
      <c r="K44" s="19" t="s">
        <v>60</v>
      </c>
      <c r="L44" s="19" t="s">
        <v>793</v>
      </c>
      <c r="M44" s="20" t="s">
        <v>801</v>
      </c>
      <c r="N44" s="100" t="s">
        <v>809</v>
      </c>
    </row>
    <row r="45" spans="1:14" ht="50.5">
      <c r="A45" s="37"/>
      <c r="B45" s="56" t="s">
        <v>113</v>
      </c>
      <c r="C45" s="57" t="s">
        <v>269</v>
      </c>
      <c r="D45" s="58" t="s">
        <v>40</v>
      </c>
      <c r="E45" s="58" t="s">
        <v>461</v>
      </c>
      <c r="F45" s="22" t="s">
        <v>464</v>
      </c>
      <c r="G45" s="22" t="s">
        <v>613</v>
      </c>
      <c r="H45" s="22" t="s">
        <v>112</v>
      </c>
      <c r="I45" s="21" t="s">
        <v>37</v>
      </c>
      <c r="J45" s="59" t="s">
        <v>546</v>
      </c>
      <c r="K45" s="21"/>
      <c r="L45" s="21">
        <v>1</v>
      </c>
      <c r="M45" s="22" t="s">
        <v>781</v>
      </c>
      <c r="N45" s="100" t="s">
        <v>810</v>
      </c>
    </row>
    <row r="46" spans="1:14" ht="50.5">
      <c r="A46" s="37"/>
      <c r="B46" s="56" t="s">
        <v>114</v>
      </c>
      <c r="C46" s="57" t="s">
        <v>270</v>
      </c>
      <c r="D46" s="58" t="s">
        <v>40</v>
      </c>
      <c r="E46" s="58" t="s">
        <v>461</v>
      </c>
      <c r="F46" s="22" t="s">
        <v>465</v>
      </c>
      <c r="G46" s="22" t="s">
        <v>614</v>
      </c>
      <c r="H46" s="22" t="s">
        <v>112</v>
      </c>
      <c r="I46" s="21" t="s">
        <v>37</v>
      </c>
      <c r="J46" s="59" t="s">
        <v>546</v>
      </c>
      <c r="K46" s="21"/>
      <c r="L46" s="21">
        <v>1</v>
      </c>
      <c r="M46" s="22"/>
      <c r="N46" s="100" t="s">
        <v>810</v>
      </c>
    </row>
    <row r="47" spans="1:14" ht="50.5">
      <c r="A47" s="37"/>
      <c r="B47" s="56" t="s">
        <v>115</v>
      </c>
      <c r="C47" s="57" t="s">
        <v>271</v>
      </c>
      <c r="D47" s="58" t="s">
        <v>40</v>
      </c>
      <c r="E47" s="58" t="s">
        <v>461</v>
      </c>
      <c r="F47" s="22" t="s">
        <v>466</v>
      </c>
      <c r="G47" s="22" t="s">
        <v>615</v>
      </c>
      <c r="H47" s="22" t="s">
        <v>112</v>
      </c>
      <c r="I47" s="21" t="s">
        <v>37</v>
      </c>
      <c r="J47" s="59" t="s">
        <v>546</v>
      </c>
      <c r="K47" s="21"/>
      <c r="L47" s="21">
        <v>1</v>
      </c>
      <c r="M47" s="22"/>
      <c r="N47" s="100" t="s">
        <v>810</v>
      </c>
    </row>
    <row r="48" spans="1:14" ht="50.5">
      <c r="A48" s="37"/>
      <c r="B48" s="56" t="s">
        <v>116</v>
      </c>
      <c r="C48" s="57" t="s">
        <v>272</v>
      </c>
      <c r="D48" s="58" t="s">
        <v>40</v>
      </c>
      <c r="E48" s="58" t="s">
        <v>461</v>
      </c>
      <c r="F48" s="22" t="s">
        <v>611</v>
      </c>
      <c r="G48" s="22" t="s">
        <v>616</v>
      </c>
      <c r="H48" s="22" t="s">
        <v>112</v>
      </c>
      <c r="I48" s="21" t="s">
        <v>37</v>
      </c>
      <c r="J48" s="59" t="s">
        <v>546</v>
      </c>
      <c r="K48" s="21"/>
      <c r="L48" s="21">
        <v>1</v>
      </c>
      <c r="M48" s="22"/>
      <c r="N48" s="100" t="s">
        <v>810</v>
      </c>
    </row>
    <row r="49" spans="1:14" ht="50.5">
      <c r="A49" s="37"/>
      <c r="B49" s="56" t="s">
        <v>117</v>
      </c>
      <c r="C49" s="57" t="s">
        <v>273</v>
      </c>
      <c r="D49" s="58" t="s">
        <v>40</v>
      </c>
      <c r="E49" s="58" t="s">
        <v>461</v>
      </c>
      <c r="F49" s="22" t="s">
        <v>487</v>
      </c>
      <c r="G49" s="22" t="s">
        <v>617</v>
      </c>
      <c r="H49" s="22" t="s">
        <v>112</v>
      </c>
      <c r="I49" s="21" t="s">
        <v>37</v>
      </c>
      <c r="J49" s="59" t="s">
        <v>546</v>
      </c>
      <c r="K49" s="21"/>
      <c r="L49" s="21">
        <v>1</v>
      </c>
      <c r="M49" s="22"/>
      <c r="N49" s="100" t="s">
        <v>810</v>
      </c>
    </row>
    <row r="50" spans="1:14" ht="50.5">
      <c r="A50" s="37"/>
      <c r="B50" s="56" t="s">
        <v>118</v>
      </c>
      <c r="C50" s="57" t="s">
        <v>612</v>
      </c>
      <c r="D50" s="58" t="s">
        <v>40</v>
      </c>
      <c r="E50" s="58" t="s">
        <v>461</v>
      </c>
      <c r="F50" s="22" t="s">
        <v>486</v>
      </c>
      <c r="G50" s="22" t="s">
        <v>618</v>
      </c>
      <c r="H50" s="22" t="s">
        <v>112</v>
      </c>
      <c r="I50" s="21" t="s">
        <v>37</v>
      </c>
      <c r="J50" s="59" t="s">
        <v>546</v>
      </c>
      <c r="K50" s="21"/>
      <c r="L50" s="21">
        <v>1</v>
      </c>
      <c r="M50" s="22"/>
      <c r="N50" s="100"/>
    </row>
    <row r="51" spans="1:14" ht="50.5">
      <c r="A51" s="37"/>
      <c r="B51" s="56"/>
      <c r="C51" s="57" t="s">
        <v>620</v>
      </c>
      <c r="D51" s="58" t="s">
        <v>40</v>
      </c>
      <c r="E51" s="58" t="s">
        <v>619</v>
      </c>
      <c r="F51" s="22" t="s">
        <v>399</v>
      </c>
      <c r="G51" s="22" t="s">
        <v>393</v>
      </c>
      <c r="H51" s="22" t="s">
        <v>214</v>
      </c>
      <c r="I51" s="21" t="s">
        <v>37</v>
      </c>
      <c r="J51" s="59" t="s">
        <v>546</v>
      </c>
      <c r="K51" s="21"/>
      <c r="L51" s="21">
        <v>3</v>
      </c>
      <c r="M51" s="22"/>
      <c r="N51" s="100"/>
    </row>
    <row r="52" spans="1:14" ht="50.5">
      <c r="A52" s="37"/>
      <c r="B52" s="56" t="s">
        <v>119</v>
      </c>
      <c r="C52" s="57" t="s">
        <v>274</v>
      </c>
      <c r="D52" s="58" t="s">
        <v>40</v>
      </c>
      <c r="E52" s="58" t="s">
        <v>462</v>
      </c>
      <c r="F52" s="22" t="s">
        <v>109</v>
      </c>
      <c r="G52" s="22" t="s">
        <v>543</v>
      </c>
      <c r="H52" s="22" t="s">
        <v>214</v>
      </c>
      <c r="I52" s="21" t="s">
        <v>37</v>
      </c>
      <c r="J52" s="59" t="s">
        <v>546</v>
      </c>
      <c r="K52" s="21"/>
      <c r="L52" s="21">
        <v>1</v>
      </c>
      <c r="M52" s="22"/>
      <c r="N52" s="100"/>
    </row>
    <row r="53" spans="1:14" ht="100.5">
      <c r="A53" s="37"/>
      <c r="B53" s="56" t="s">
        <v>120</v>
      </c>
      <c r="C53" s="57" t="s">
        <v>621</v>
      </c>
      <c r="D53" s="58" t="s">
        <v>40</v>
      </c>
      <c r="E53" s="58" t="s">
        <v>462</v>
      </c>
      <c r="F53" s="22" t="s">
        <v>110</v>
      </c>
      <c r="G53" s="22" t="s">
        <v>111</v>
      </c>
      <c r="H53" s="22" t="s">
        <v>463</v>
      </c>
      <c r="I53" s="21" t="s">
        <v>37</v>
      </c>
      <c r="J53" s="59"/>
      <c r="K53" s="21"/>
      <c r="L53" s="21" t="s">
        <v>795</v>
      </c>
      <c r="M53" s="22"/>
      <c r="N53" s="100"/>
    </row>
    <row r="54" spans="1:14" ht="25.5">
      <c r="A54" s="37"/>
      <c r="B54" s="56"/>
      <c r="C54" s="57"/>
      <c r="D54" s="58"/>
      <c r="E54" s="58"/>
      <c r="F54" s="60" t="s">
        <v>786</v>
      </c>
      <c r="G54" s="22"/>
      <c r="H54" s="22"/>
      <c r="I54" s="21"/>
      <c r="J54" s="59"/>
      <c r="K54" s="21"/>
      <c r="L54" s="21">
        <v>2</v>
      </c>
      <c r="M54" s="22" t="s">
        <v>792</v>
      </c>
      <c r="N54" s="100"/>
    </row>
    <row r="55" spans="1:14" ht="175.5">
      <c r="A55" s="37"/>
      <c r="B55" s="61" t="s">
        <v>121</v>
      </c>
      <c r="C55" s="62" t="s">
        <v>275</v>
      </c>
      <c r="D55" s="63" t="s">
        <v>719</v>
      </c>
      <c r="E55" s="63" t="s">
        <v>428</v>
      </c>
      <c r="F55" s="24" t="s">
        <v>65</v>
      </c>
      <c r="G55" s="24" t="s">
        <v>429</v>
      </c>
      <c r="H55" s="24" t="s">
        <v>144</v>
      </c>
      <c r="I55" s="23" t="s">
        <v>37</v>
      </c>
      <c r="J55" s="64"/>
      <c r="K55" s="23"/>
      <c r="L55" s="23" t="s">
        <v>757</v>
      </c>
      <c r="M55" s="24"/>
      <c r="N55" s="100"/>
    </row>
    <row r="56" spans="1:14" ht="138">
      <c r="A56" s="37"/>
      <c r="B56" s="61" t="s">
        <v>122</v>
      </c>
      <c r="C56" s="62" t="s">
        <v>276</v>
      </c>
      <c r="D56" s="63" t="s">
        <v>719</v>
      </c>
      <c r="E56" s="63" t="s">
        <v>428</v>
      </c>
      <c r="F56" s="24" t="s">
        <v>64</v>
      </c>
      <c r="G56" s="24" t="s">
        <v>430</v>
      </c>
      <c r="H56" s="24" t="s">
        <v>145</v>
      </c>
      <c r="I56" s="23" t="s">
        <v>37</v>
      </c>
      <c r="J56" s="64"/>
      <c r="K56" s="23"/>
      <c r="L56" s="23" t="s">
        <v>757</v>
      </c>
      <c r="M56" s="24"/>
      <c r="N56" s="100"/>
    </row>
    <row r="57" spans="1:14" ht="200.5">
      <c r="A57" s="37"/>
      <c r="B57" s="61" t="s">
        <v>123</v>
      </c>
      <c r="C57" s="62" t="s">
        <v>277</v>
      </c>
      <c r="D57" s="63" t="s">
        <v>719</v>
      </c>
      <c r="E57" s="63" t="s">
        <v>428</v>
      </c>
      <c r="F57" s="24" t="s">
        <v>66</v>
      </c>
      <c r="G57" s="24" t="s">
        <v>146</v>
      </c>
      <c r="H57" s="24" t="s">
        <v>147</v>
      </c>
      <c r="I57" s="23" t="s">
        <v>37</v>
      </c>
      <c r="J57" s="64"/>
      <c r="K57" s="23"/>
      <c r="L57" s="23" t="s">
        <v>757</v>
      </c>
      <c r="M57" s="24"/>
      <c r="N57" s="100"/>
    </row>
    <row r="58" spans="1:14" ht="38">
      <c r="A58" s="37"/>
      <c r="B58" s="61"/>
      <c r="C58" s="62" t="s">
        <v>697</v>
      </c>
      <c r="D58" s="63" t="s">
        <v>719</v>
      </c>
      <c r="E58" s="63" t="s">
        <v>428</v>
      </c>
      <c r="F58" s="24" t="s">
        <v>67</v>
      </c>
      <c r="G58" s="24" t="s">
        <v>148</v>
      </c>
      <c r="H58" s="24" t="s">
        <v>197</v>
      </c>
      <c r="I58" s="23" t="s">
        <v>37</v>
      </c>
      <c r="J58" s="64"/>
      <c r="K58" s="23"/>
      <c r="L58" s="23">
        <v>2</v>
      </c>
      <c r="M58" s="24"/>
      <c r="N58" s="100"/>
    </row>
    <row r="59" spans="1:14" ht="125.5">
      <c r="A59" s="37"/>
      <c r="B59" s="61"/>
      <c r="C59" s="62" t="s">
        <v>698</v>
      </c>
      <c r="D59" s="63" t="s">
        <v>719</v>
      </c>
      <c r="E59" s="63" t="s">
        <v>428</v>
      </c>
      <c r="F59" s="24" t="s">
        <v>187</v>
      </c>
      <c r="G59" s="24" t="s">
        <v>188</v>
      </c>
      <c r="H59" s="24" t="s">
        <v>431</v>
      </c>
      <c r="I59" s="23" t="s">
        <v>37</v>
      </c>
      <c r="J59" s="64"/>
      <c r="K59" s="23"/>
      <c r="L59" s="23">
        <v>2</v>
      </c>
      <c r="M59" s="24"/>
      <c r="N59" s="100"/>
    </row>
    <row r="60" spans="1:14" ht="51">
      <c r="A60" s="37"/>
      <c r="B60" s="61" t="s">
        <v>124</v>
      </c>
      <c r="C60" s="62" t="s">
        <v>278</v>
      </c>
      <c r="D60" s="63" t="s">
        <v>719</v>
      </c>
      <c r="E60" s="63" t="s">
        <v>428</v>
      </c>
      <c r="F60" s="24" t="s">
        <v>68</v>
      </c>
      <c r="G60" s="24" t="s">
        <v>149</v>
      </c>
      <c r="H60" s="24" t="s">
        <v>569</v>
      </c>
      <c r="I60" s="23" t="s">
        <v>37</v>
      </c>
      <c r="J60" s="64"/>
      <c r="K60" s="23"/>
      <c r="L60" s="23">
        <v>2</v>
      </c>
      <c r="M60" s="24"/>
      <c r="N60" s="100"/>
    </row>
    <row r="61" spans="1:14" ht="50.5">
      <c r="A61" s="37"/>
      <c r="B61" s="61" t="s">
        <v>125</v>
      </c>
      <c r="C61" s="62" t="s">
        <v>279</v>
      </c>
      <c r="D61" s="63" t="s">
        <v>719</v>
      </c>
      <c r="E61" s="63" t="s">
        <v>428</v>
      </c>
      <c r="F61" s="24" t="s">
        <v>699</v>
      </c>
      <c r="G61" s="24" t="s">
        <v>150</v>
      </c>
      <c r="H61" s="24" t="s">
        <v>151</v>
      </c>
      <c r="I61" s="23" t="s">
        <v>37</v>
      </c>
      <c r="J61" s="64"/>
      <c r="K61" s="23"/>
      <c r="L61" s="23">
        <v>2</v>
      </c>
      <c r="M61" s="24"/>
      <c r="N61" s="100"/>
    </row>
    <row r="62" spans="1:14" ht="50.5">
      <c r="A62" s="37"/>
      <c r="B62" s="61" t="s">
        <v>126</v>
      </c>
      <c r="C62" s="62" t="s">
        <v>280</v>
      </c>
      <c r="D62" s="63" t="s">
        <v>719</v>
      </c>
      <c r="E62" s="63" t="s">
        <v>428</v>
      </c>
      <c r="F62" s="24" t="s">
        <v>69</v>
      </c>
      <c r="G62" s="24" t="s">
        <v>152</v>
      </c>
      <c r="H62" s="24" t="s">
        <v>153</v>
      </c>
      <c r="I62" s="23" t="s">
        <v>37</v>
      </c>
      <c r="J62" s="64"/>
      <c r="K62" s="23"/>
      <c r="L62" s="23">
        <v>3</v>
      </c>
      <c r="M62" s="24"/>
      <c r="N62" s="100"/>
    </row>
    <row r="63" spans="1:14" ht="50.5">
      <c r="A63" s="37"/>
      <c r="B63" s="61" t="s">
        <v>127</v>
      </c>
      <c r="C63" s="62" t="s">
        <v>701</v>
      </c>
      <c r="D63" s="63" t="s">
        <v>719</v>
      </c>
      <c r="E63" s="63" t="s">
        <v>428</v>
      </c>
      <c r="F63" s="24" t="s">
        <v>70</v>
      </c>
      <c r="G63" s="24" t="s">
        <v>155</v>
      </c>
      <c r="H63" s="24" t="s">
        <v>156</v>
      </c>
      <c r="I63" s="23" t="s">
        <v>37</v>
      </c>
      <c r="J63" s="64"/>
      <c r="K63" s="23"/>
      <c r="L63" s="23">
        <v>3</v>
      </c>
      <c r="M63" s="24"/>
      <c r="N63" s="100"/>
    </row>
    <row r="64" spans="1:14" ht="50.5">
      <c r="A64" s="37"/>
      <c r="B64" s="61" t="s">
        <v>9</v>
      </c>
      <c r="C64" s="62" t="s">
        <v>702</v>
      </c>
      <c r="D64" s="63" t="s">
        <v>719</v>
      </c>
      <c r="E64" s="63" t="s">
        <v>428</v>
      </c>
      <c r="F64" s="24" t="s">
        <v>75</v>
      </c>
      <c r="G64" s="24" t="s">
        <v>154</v>
      </c>
      <c r="H64" s="24" t="s">
        <v>153</v>
      </c>
      <c r="I64" s="23" t="s">
        <v>37</v>
      </c>
      <c r="J64" s="64"/>
      <c r="K64" s="23"/>
      <c r="L64" s="23">
        <v>3</v>
      </c>
      <c r="M64" s="24"/>
      <c r="N64" s="100"/>
    </row>
    <row r="65" spans="1:14" ht="125.5">
      <c r="A65" s="37"/>
      <c r="B65" s="61"/>
      <c r="C65" s="62" t="s">
        <v>700</v>
      </c>
      <c r="D65" s="63" t="s">
        <v>719</v>
      </c>
      <c r="E65" s="63" t="s">
        <v>428</v>
      </c>
      <c r="F65" s="24" t="s">
        <v>225</v>
      </c>
      <c r="G65" s="24" t="s">
        <v>189</v>
      </c>
      <c r="H65" s="24" t="s">
        <v>190</v>
      </c>
      <c r="I65" s="23" t="s">
        <v>37</v>
      </c>
      <c r="J65" s="64"/>
      <c r="K65" s="23"/>
      <c r="L65" s="23">
        <v>3</v>
      </c>
      <c r="M65" s="24"/>
      <c r="N65" s="100"/>
    </row>
    <row r="66" spans="1:14" ht="75.5">
      <c r="A66" s="37"/>
      <c r="B66" s="61" t="s">
        <v>9</v>
      </c>
      <c r="C66" s="62" t="s">
        <v>281</v>
      </c>
      <c r="D66" s="63" t="s">
        <v>719</v>
      </c>
      <c r="E66" s="63" t="s">
        <v>428</v>
      </c>
      <c r="F66" s="24" t="s">
        <v>191</v>
      </c>
      <c r="G66" s="24" t="s">
        <v>703</v>
      </c>
      <c r="H66" s="24"/>
      <c r="I66" s="23" t="s">
        <v>37</v>
      </c>
      <c r="J66" s="65" t="s">
        <v>237</v>
      </c>
      <c r="K66" s="23"/>
      <c r="L66" s="23">
        <v>3</v>
      </c>
      <c r="M66" s="24"/>
      <c r="N66" s="100"/>
    </row>
    <row r="67" spans="1:14" ht="39">
      <c r="A67" s="37"/>
      <c r="B67" s="46"/>
      <c r="C67" s="47" t="s">
        <v>688</v>
      </c>
      <c r="D67" s="66" t="s">
        <v>720</v>
      </c>
      <c r="E67" s="66" t="s">
        <v>428</v>
      </c>
      <c r="F67" s="25" t="s">
        <v>23</v>
      </c>
      <c r="G67" s="50" t="s">
        <v>722</v>
      </c>
      <c r="H67" s="25"/>
      <c r="I67" s="18" t="s">
        <v>37</v>
      </c>
      <c r="J67" s="25"/>
      <c r="K67" s="18"/>
      <c r="L67" s="18" t="s">
        <v>762</v>
      </c>
      <c r="M67" s="25"/>
      <c r="N67" s="100"/>
    </row>
    <row r="68" spans="1:14" ht="26">
      <c r="A68" s="37"/>
      <c r="B68" s="46" t="s">
        <v>9</v>
      </c>
      <c r="C68" s="47" t="s">
        <v>692</v>
      </c>
      <c r="D68" s="66" t="s">
        <v>721</v>
      </c>
      <c r="E68" s="66" t="s">
        <v>522</v>
      </c>
      <c r="F68" s="25" t="s">
        <v>413</v>
      </c>
      <c r="G68" s="50" t="s">
        <v>420</v>
      </c>
      <c r="H68" s="25"/>
      <c r="I68" s="18" t="s">
        <v>37</v>
      </c>
      <c r="J68" s="25"/>
      <c r="K68" s="18"/>
      <c r="L68" s="18" t="s">
        <v>794</v>
      </c>
      <c r="M68" s="25"/>
      <c r="N68" s="100"/>
    </row>
    <row r="69" spans="1:14" ht="38">
      <c r="A69" s="37"/>
      <c r="B69" s="46" t="s">
        <v>9</v>
      </c>
      <c r="C69" s="47" t="s">
        <v>282</v>
      </c>
      <c r="D69" s="66" t="s">
        <v>721</v>
      </c>
      <c r="E69" s="66" t="s">
        <v>536</v>
      </c>
      <c r="F69" s="25" t="s">
        <v>414</v>
      </c>
      <c r="G69" s="25" t="s">
        <v>421</v>
      </c>
      <c r="H69" s="25" t="s">
        <v>422</v>
      </c>
      <c r="I69" s="18" t="s">
        <v>37</v>
      </c>
      <c r="J69" s="25" t="s">
        <v>411</v>
      </c>
      <c r="K69" s="18"/>
      <c r="L69" s="18" t="s">
        <v>759</v>
      </c>
      <c r="M69" s="25"/>
      <c r="N69" s="100"/>
    </row>
    <row r="70" spans="1:14" ht="100.5">
      <c r="A70" s="37"/>
      <c r="B70" s="46" t="s">
        <v>9</v>
      </c>
      <c r="C70" s="47" t="s">
        <v>283</v>
      </c>
      <c r="D70" s="66" t="s">
        <v>723</v>
      </c>
      <c r="E70" s="66" t="s">
        <v>520</v>
      </c>
      <c r="F70" s="25" t="s">
        <v>415</v>
      </c>
      <c r="G70" s="25" t="s">
        <v>423</v>
      </c>
      <c r="H70" s="25" t="s">
        <v>422</v>
      </c>
      <c r="I70" s="18" t="s">
        <v>37</v>
      </c>
      <c r="J70" s="25"/>
      <c r="K70" s="18"/>
      <c r="L70" s="18">
        <v>4</v>
      </c>
      <c r="M70" s="25" t="s">
        <v>724</v>
      </c>
      <c r="N70" s="100"/>
    </row>
    <row r="71" spans="1:14" ht="100.5">
      <c r="A71" s="37"/>
      <c r="B71" s="46" t="s">
        <v>9</v>
      </c>
      <c r="C71" s="47" t="s">
        <v>284</v>
      </c>
      <c r="D71" s="66" t="s">
        <v>725</v>
      </c>
      <c r="E71" s="66" t="s">
        <v>517</v>
      </c>
      <c r="F71" s="25" t="s">
        <v>691</v>
      </c>
      <c r="G71" s="25" t="s">
        <v>689</v>
      </c>
      <c r="H71" s="25" t="s">
        <v>690</v>
      </c>
      <c r="I71" s="18" t="s">
        <v>37</v>
      </c>
      <c r="J71" s="25"/>
      <c r="K71" s="18"/>
      <c r="L71" s="18">
        <v>3</v>
      </c>
      <c r="M71" s="25"/>
      <c r="N71" s="100"/>
    </row>
    <row r="72" spans="1:14" ht="91">
      <c r="A72" s="37"/>
      <c r="B72" s="46"/>
      <c r="C72" s="47" t="s">
        <v>412</v>
      </c>
      <c r="D72" s="66" t="s">
        <v>726</v>
      </c>
      <c r="E72" s="66" t="s">
        <v>523</v>
      </c>
      <c r="F72" s="25" t="s">
        <v>416</v>
      </c>
      <c r="G72" s="25" t="s">
        <v>154</v>
      </c>
      <c r="H72" s="25" t="s">
        <v>153</v>
      </c>
      <c r="I72" s="18" t="s">
        <v>37</v>
      </c>
      <c r="J72" s="25"/>
      <c r="K72" s="18"/>
      <c r="L72" s="18" t="s">
        <v>762</v>
      </c>
      <c r="M72" s="25"/>
      <c r="N72" s="100"/>
    </row>
    <row r="73" spans="1:14" ht="52">
      <c r="A73" s="37"/>
      <c r="B73" s="46" t="s">
        <v>9</v>
      </c>
      <c r="C73" s="47" t="s">
        <v>693</v>
      </c>
      <c r="D73" s="66" t="s">
        <v>727</v>
      </c>
      <c r="E73" s="66" t="s">
        <v>537</v>
      </c>
      <c r="F73" s="25" t="s">
        <v>417</v>
      </c>
      <c r="G73" s="25" t="s">
        <v>425</v>
      </c>
      <c r="H73" s="25"/>
      <c r="I73" s="18" t="s">
        <v>37</v>
      </c>
      <c r="J73" s="25"/>
      <c r="K73" s="18"/>
      <c r="L73" s="18">
        <v>3</v>
      </c>
      <c r="M73" s="25"/>
      <c r="N73" s="100"/>
    </row>
    <row r="74" spans="1:14" ht="52">
      <c r="A74" s="37"/>
      <c r="B74" s="46" t="s">
        <v>9</v>
      </c>
      <c r="C74" s="47" t="s">
        <v>285</v>
      </c>
      <c r="D74" s="66" t="s">
        <v>728</v>
      </c>
      <c r="E74" s="66" t="s">
        <v>428</v>
      </c>
      <c r="F74" s="25" t="s">
        <v>418</v>
      </c>
      <c r="G74" s="25" t="s">
        <v>694</v>
      </c>
      <c r="H74" s="25" t="s">
        <v>695</v>
      </c>
      <c r="I74" s="18" t="s">
        <v>37</v>
      </c>
      <c r="J74" s="25"/>
      <c r="K74" s="18"/>
      <c r="L74" s="18">
        <v>3</v>
      </c>
      <c r="M74" s="25"/>
      <c r="N74" s="100"/>
    </row>
    <row r="75" spans="1:14" ht="50.5">
      <c r="A75" s="37"/>
      <c r="B75" s="46" t="s">
        <v>9</v>
      </c>
      <c r="C75" s="47" t="s">
        <v>696</v>
      </c>
      <c r="D75" s="66" t="s">
        <v>729</v>
      </c>
      <c r="E75" s="66" t="s">
        <v>428</v>
      </c>
      <c r="F75" s="25" t="s">
        <v>419</v>
      </c>
      <c r="G75" s="25" t="s">
        <v>426</v>
      </c>
      <c r="H75" s="25" t="s">
        <v>427</v>
      </c>
      <c r="I75" s="18" t="s">
        <v>37</v>
      </c>
      <c r="J75" s="25"/>
      <c r="K75" s="18"/>
      <c r="L75" s="18">
        <v>3</v>
      </c>
      <c r="M75" s="25"/>
      <c r="N75" s="100"/>
    </row>
    <row r="76" spans="1:14" ht="50.5">
      <c r="A76" s="37"/>
      <c r="B76" s="46" t="s">
        <v>9</v>
      </c>
      <c r="C76" s="47" t="s">
        <v>412</v>
      </c>
      <c r="D76" s="66" t="s">
        <v>730</v>
      </c>
      <c r="E76" s="66" t="s">
        <v>731</v>
      </c>
      <c r="F76" s="25" t="s">
        <v>416</v>
      </c>
      <c r="G76" s="25" t="s">
        <v>154</v>
      </c>
      <c r="H76" s="25" t="s">
        <v>153</v>
      </c>
      <c r="I76" s="18" t="s">
        <v>37</v>
      </c>
      <c r="J76" s="25"/>
      <c r="K76" s="18"/>
      <c r="L76" s="18">
        <v>3</v>
      </c>
      <c r="M76" s="25"/>
      <c r="N76" s="100"/>
    </row>
    <row r="77" spans="1:14">
      <c r="A77" s="37"/>
      <c r="B77" s="67" t="s">
        <v>9</v>
      </c>
      <c r="C77" s="68" t="s">
        <v>286</v>
      </c>
      <c r="D77" s="69" t="s">
        <v>6</v>
      </c>
      <c r="E77" s="69" t="s">
        <v>6</v>
      </c>
      <c r="F77" s="39" t="s">
        <v>44</v>
      </c>
      <c r="G77" s="39"/>
      <c r="H77" s="39"/>
      <c r="I77" s="26" t="s">
        <v>3</v>
      </c>
      <c r="J77" s="70"/>
      <c r="K77" s="26" t="s">
        <v>60</v>
      </c>
      <c r="L77" s="26">
        <v>2</v>
      </c>
      <c r="M77" s="39" t="s">
        <v>386</v>
      </c>
      <c r="N77" s="100"/>
    </row>
    <row r="78" spans="1:14">
      <c r="A78" s="37"/>
      <c r="B78" s="67" t="s">
        <v>9</v>
      </c>
      <c r="C78" s="68" t="s">
        <v>287</v>
      </c>
      <c r="D78" s="69" t="s">
        <v>6</v>
      </c>
      <c r="E78" s="69" t="s">
        <v>6</v>
      </c>
      <c r="F78" s="39" t="s">
        <v>43</v>
      </c>
      <c r="G78" s="39"/>
      <c r="H78" s="39"/>
      <c r="I78" s="26" t="s">
        <v>3</v>
      </c>
      <c r="J78" s="70"/>
      <c r="K78" s="26" t="s">
        <v>60</v>
      </c>
      <c r="L78" s="26" t="s">
        <v>760</v>
      </c>
      <c r="M78" s="39" t="s">
        <v>387</v>
      </c>
      <c r="N78" s="100"/>
    </row>
    <row r="79" spans="1:14">
      <c r="A79" s="37"/>
      <c r="B79" s="67" t="s">
        <v>9</v>
      </c>
      <c r="C79" s="68" t="s">
        <v>288</v>
      </c>
      <c r="D79" s="69" t="s">
        <v>6</v>
      </c>
      <c r="E79" s="69" t="s">
        <v>6</v>
      </c>
      <c r="F79" s="39" t="s">
        <v>41</v>
      </c>
      <c r="G79" s="39"/>
      <c r="H79" s="39"/>
      <c r="I79" s="26" t="s">
        <v>3</v>
      </c>
      <c r="J79" s="70"/>
      <c r="K79" s="26" t="s">
        <v>60</v>
      </c>
      <c r="L79" s="26">
        <v>2</v>
      </c>
      <c r="M79" s="39" t="s">
        <v>388</v>
      </c>
      <c r="N79" s="100"/>
    </row>
    <row r="80" spans="1:14" ht="75.5">
      <c r="A80" s="37"/>
      <c r="B80" s="71" t="s">
        <v>96</v>
      </c>
      <c r="C80" s="72" t="s">
        <v>622</v>
      </c>
      <c r="D80" s="73" t="s">
        <v>14</v>
      </c>
      <c r="E80" s="73" t="s">
        <v>409</v>
      </c>
      <c r="F80" s="28" t="s">
        <v>784</v>
      </c>
      <c r="G80" s="28" t="s">
        <v>353</v>
      </c>
      <c r="H80" s="28" t="s">
        <v>354</v>
      </c>
      <c r="I80" s="27" t="s">
        <v>38</v>
      </c>
      <c r="J80" s="74" t="s">
        <v>533</v>
      </c>
      <c r="K80" s="27" t="s">
        <v>60</v>
      </c>
      <c r="L80" s="27">
        <v>2</v>
      </c>
      <c r="M80" s="28" t="s">
        <v>785</v>
      </c>
      <c r="N80" s="100" t="s">
        <v>805</v>
      </c>
    </row>
    <row r="81" spans="1:14" ht="100.5">
      <c r="A81" s="37"/>
      <c r="B81" s="71" t="s">
        <v>97</v>
      </c>
      <c r="C81" s="72" t="s">
        <v>289</v>
      </c>
      <c r="D81" s="73" t="s">
        <v>7</v>
      </c>
      <c r="E81" s="73" t="s">
        <v>410</v>
      </c>
      <c r="F81" s="28" t="s">
        <v>623</v>
      </c>
      <c r="G81" s="28" t="s">
        <v>446</v>
      </c>
      <c r="H81" s="28" t="s">
        <v>447</v>
      </c>
      <c r="I81" s="27" t="s">
        <v>38</v>
      </c>
      <c r="J81" s="74" t="s">
        <v>533</v>
      </c>
      <c r="K81" s="27" t="s">
        <v>60</v>
      </c>
      <c r="L81" s="27" t="s">
        <v>761</v>
      </c>
      <c r="M81" s="28"/>
      <c r="N81" s="100"/>
    </row>
    <row r="82" spans="1:14" ht="409.6">
      <c r="A82" s="37"/>
      <c r="B82" s="71"/>
      <c r="C82" s="72" t="s">
        <v>290</v>
      </c>
      <c r="D82" s="73" t="s">
        <v>14</v>
      </c>
      <c r="E82" s="73" t="s">
        <v>409</v>
      </c>
      <c r="F82" s="28" t="s">
        <v>631</v>
      </c>
      <c r="G82" s="28" t="s">
        <v>194</v>
      </c>
      <c r="H82" s="28" t="s">
        <v>432</v>
      </c>
      <c r="I82" s="27" t="s">
        <v>37</v>
      </c>
      <c r="J82" s="74"/>
      <c r="K82" s="27"/>
      <c r="L82" s="27">
        <v>2</v>
      </c>
      <c r="M82" s="28" t="s">
        <v>802</v>
      </c>
      <c r="N82" s="100" t="s">
        <v>804</v>
      </c>
    </row>
    <row r="83" spans="1:14" ht="38">
      <c r="A83" s="37"/>
      <c r="B83" s="71"/>
      <c r="C83" s="72" t="s">
        <v>632</v>
      </c>
      <c r="D83" s="73" t="s">
        <v>14</v>
      </c>
      <c r="E83" s="73" t="s">
        <v>736</v>
      </c>
      <c r="F83" s="28" t="s">
        <v>433</v>
      </c>
      <c r="G83" s="28" t="s">
        <v>434</v>
      </c>
      <c r="H83" s="28" t="s">
        <v>422</v>
      </c>
      <c r="I83" s="27" t="s">
        <v>37</v>
      </c>
      <c r="J83" s="74"/>
      <c r="K83" s="27"/>
      <c r="L83" s="27" t="s">
        <v>758</v>
      </c>
      <c r="M83" s="28"/>
      <c r="N83" s="100"/>
    </row>
    <row r="84" spans="1:14" ht="63">
      <c r="A84" s="37"/>
      <c r="B84" s="71" t="s">
        <v>95</v>
      </c>
      <c r="C84" s="72" t="s">
        <v>291</v>
      </c>
      <c r="D84" s="73" t="s">
        <v>14</v>
      </c>
      <c r="E84" s="73" t="s">
        <v>411</v>
      </c>
      <c r="F84" s="28" t="s">
        <v>624</v>
      </c>
      <c r="G84" s="28" t="s">
        <v>157</v>
      </c>
      <c r="H84" s="28" t="s">
        <v>355</v>
      </c>
      <c r="I84" s="27" t="s">
        <v>37</v>
      </c>
      <c r="J84" s="74"/>
      <c r="K84" s="27" t="s">
        <v>60</v>
      </c>
      <c r="L84" s="27">
        <v>2</v>
      </c>
      <c r="M84" s="28"/>
      <c r="N84" s="100"/>
    </row>
    <row r="85" spans="1:14" ht="50.5">
      <c r="A85" s="37"/>
      <c r="B85" s="71" t="s">
        <v>24</v>
      </c>
      <c r="C85" s="72" t="s">
        <v>712</v>
      </c>
      <c r="D85" s="73" t="s">
        <v>14</v>
      </c>
      <c r="E85" s="73" t="s">
        <v>411</v>
      </c>
      <c r="F85" s="28" t="s">
        <v>58</v>
      </c>
      <c r="G85" s="28" t="s">
        <v>323</v>
      </c>
      <c r="H85" s="28" t="s">
        <v>324</v>
      </c>
      <c r="I85" s="27" t="s">
        <v>63</v>
      </c>
      <c r="J85" s="74"/>
      <c r="K85" s="27"/>
      <c r="L85" s="27">
        <v>2</v>
      </c>
      <c r="M85" s="28" t="s">
        <v>396</v>
      </c>
      <c r="N85" s="100"/>
    </row>
    <row r="86" spans="1:14">
      <c r="A86" s="37"/>
      <c r="B86" s="71" t="s">
        <v>98</v>
      </c>
      <c r="C86" s="72" t="s">
        <v>713</v>
      </c>
      <c r="D86" s="73" t="s">
        <v>14</v>
      </c>
      <c r="E86" s="73" t="s">
        <v>411</v>
      </c>
      <c r="F86" s="28" t="s">
        <v>772</v>
      </c>
      <c r="G86" s="28" t="s">
        <v>325</v>
      </c>
      <c r="H86" s="28" t="s">
        <v>326</v>
      </c>
      <c r="I86" s="27" t="s">
        <v>62</v>
      </c>
      <c r="J86" s="74"/>
      <c r="K86" s="27"/>
      <c r="L86" s="27">
        <v>2</v>
      </c>
      <c r="M86" s="28" t="s">
        <v>396</v>
      </c>
      <c r="N86" s="100"/>
    </row>
    <row r="87" spans="1:14" ht="75.5">
      <c r="A87" s="37"/>
      <c r="B87" s="75" t="s">
        <v>97</v>
      </c>
      <c r="C87" s="72" t="s">
        <v>714</v>
      </c>
      <c r="D87" s="73" t="s">
        <v>14</v>
      </c>
      <c r="E87" s="73" t="s">
        <v>410</v>
      </c>
      <c r="F87" s="28" t="s">
        <v>327</v>
      </c>
      <c r="G87" s="28" t="s">
        <v>773</v>
      </c>
      <c r="H87" s="28" t="s">
        <v>329</v>
      </c>
      <c r="I87" s="27" t="s">
        <v>63</v>
      </c>
      <c r="J87" s="74"/>
      <c r="K87" s="27"/>
      <c r="L87" s="27">
        <v>2</v>
      </c>
      <c r="M87" s="28" t="s">
        <v>396</v>
      </c>
      <c r="N87" s="100"/>
    </row>
    <row r="88" spans="1:14" ht="75.5">
      <c r="A88" s="37"/>
      <c r="B88" s="75" t="s">
        <v>97</v>
      </c>
      <c r="C88" s="72" t="s">
        <v>715</v>
      </c>
      <c r="D88" s="73" t="s">
        <v>14</v>
      </c>
      <c r="E88" s="73" t="s">
        <v>410</v>
      </c>
      <c r="F88" s="28" t="s">
        <v>328</v>
      </c>
      <c r="G88" s="28" t="s">
        <v>774</v>
      </c>
      <c r="H88" s="28" t="s">
        <v>329</v>
      </c>
      <c r="I88" s="27" t="s">
        <v>63</v>
      </c>
      <c r="J88" s="74"/>
      <c r="K88" s="27"/>
      <c r="L88" s="27">
        <v>2</v>
      </c>
      <c r="M88" s="28" t="s">
        <v>396</v>
      </c>
      <c r="N88" s="100"/>
    </row>
    <row r="89" spans="1:14">
      <c r="A89" s="37"/>
      <c r="B89" s="75"/>
      <c r="C89" s="72"/>
      <c r="D89" s="73" t="s">
        <v>14</v>
      </c>
      <c r="E89" s="73" t="s">
        <v>410</v>
      </c>
      <c r="F89" s="28" t="s">
        <v>407</v>
      </c>
      <c r="G89" s="28"/>
      <c r="H89" s="28"/>
      <c r="I89" s="27" t="s">
        <v>764</v>
      </c>
      <c r="J89" s="74"/>
      <c r="K89" s="27" t="s">
        <v>60</v>
      </c>
      <c r="L89" s="27">
        <v>2</v>
      </c>
      <c r="M89" s="28"/>
      <c r="N89" s="100"/>
    </row>
    <row r="90" spans="1:14">
      <c r="A90" s="37"/>
      <c r="B90" s="75"/>
      <c r="C90" s="72"/>
      <c r="D90" s="73" t="s">
        <v>14</v>
      </c>
      <c r="E90" s="73" t="s">
        <v>410</v>
      </c>
      <c r="F90" s="28" t="s">
        <v>408</v>
      </c>
      <c r="G90" s="28"/>
      <c r="H90" s="28"/>
      <c r="I90" s="27" t="s">
        <v>402</v>
      </c>
      <c r="J90" s="74"/>
      <c r="K90" s="27" t="s">
        <v>60</v>
      </c>
      <c r="L90" s="27">
        <v>2</v>
      </c>
      <c r="M90" s="28"/>
      <c r="N90" s="100"/>
    </row>
    <row r="91" spans="1:14">
      <c r="A91" s="37"/>
      <c r="B91" s="75"/>
      <c r="C91" s="72"/>
      <c r="D91" s="73" t="s">
        <v>14</v>
      </c>
      <c r="E91" s="73" t="s">
        <v>410</v>
      </c>
      <c r="F91" s="28" t="s">
        <v>403</v>
      </c>
      <c r="G91" s="28"/>
      <c r="H91" s="28"/>
      <c r="I91" s="27" t="s">
        <v>765</v>
      </c>
      <c r="J91" s="74"/>
      <c r="K91" s="27" t="s">
        <v>60</v>
      </c>
      <c r="L91" s="27">
        <v>2</v>
      </c>
      <c r="M91" s="28"/>
      <c r="N91" s="100"/>
    </row>
    <row r="92" spans="1:14">
      <c r="A92" s="37"/>
      <c r="B92" s="75"/>
      <c r="C92" s="72"/>
      <c r="D92" s="73" t="s">
        <v>14</v>
      </c>
      <c r="E92" s="73" t="s">
        <v>410</v>
      </c>
      <c r="F92" s="28" t="s">
        <v>406</v>
      </c>
      <c r="G92" s="28"/>
      <c r="H92" s="28"/>
      <c r="I92" s="27" t="s">
        <v>404</v>
      </c>
      <c r="J92" s="74"/>
      <c r="K92" s="27" t="s">
        <v>60</v>
      </c>
      <c r="L92" s="27">
        <v>2</v>
      </c>
      <c r="M92" s="28"/>
      <c r="N92" s="100"/>
    </row>
    <row r="93" spans="1:14">
      <c r="A93" s="37"/>
      <c r="B93" s="75"/>
      <c r="C93" s="72"/>
      <c r="D93" s="73" t="s">
        <v>14</v>
      </c>
      <c r="E93" s="73" t="s">
        <v>410</v>
      </c>
      <c r="F93" s="28" t="s">
        <v>405</v>
      </c>
      <c r="G93" s="28"/>
      <c r="H93" s="28"/>
      <c r="I93" s="27" t="s">
        <v>404</v>
      </c>
      <c r="J93" s="74"/>
      <c r="K93" s="27" t="s">
        <v>60</v>
      </c>
      <c r="L93" s="27">
        <v>4</v>
      </c>
      <c r="M93" s="28"/>
      <c r="N93" s="100"/>
    </row>
    <row r="94" spans="1:14" ht="113">
      <c r="A94" s="37"/>
      <c r="B94" s="76" t="s">
        <v>102</v>
      </c>
      <c r="C94" s="77" t="s">
        <v>637</v>
      </c>
      <c r="D94" s="78" t="s">
        <v>636</v>
      </c>
      <c r="E94" s="78" t="s">
        <v>13</v>
      </c>
      <c r="F94" s="30" t="s">
        <v>634</v>
      </c>
      <c r="G94" s="30" t="s">
        <v>635</v>
      </c>
      <c r="H94" s="30" t="s">
        <v>158</v>
      </c>
      <c r="I94" s="29" t="s">
        <v>38</v>
      </c>
      <c r="J94" s="79" t="s">
        <v>39</v>
      </c>
      <c r="K94" s="29" t="s">
        <v>60</v>
      </c>
      <c r="L94" s="29">
        <v>2</v>
      </c>
      <c r="M94" s="30"/>
      <c r="N94" s="100"/>
    </row>
    <row r="95" spans="1:14" ht="25.5">
      <c r="A95" s="37"/>
      <c r="B95" s="80" t="s">
        <v>103</v>
      </c>
      <c r="C95" s="77" t="s">
        <v>638</v>
      </c>
      <c r="D95" s="78" t="s">
        <v>745</v>
      </c>
      <c r="E95" s="78" t="s">
        <v>13</v>
      </c>
      <c r="F95" s="30" t="s">
        <v>771</v>
      </c>
      <c r="G95" s="30" t="s">
        <v>330</v>
      </c>
      <c r="H95" s="30" t="s">
        <v>331</v>
      </c>
      <c r="I95" s="29" t="s">
        <v>63</v>
      </c>
      <c r="J95" s="79"/>
      <c r="K95" s="29"/>
      <c r="L95" s="29">
        <v>2</v>
      </c>
      <c r="M95" s="30" t="s">
        <v>396</v>
      </c>
      <c r="N95" s="100"/>
    </row>
    <row r="96" spans="1:14" ht="50.5">
      <c r="A96" s="37"/>
      <c r="B96" s="76" t="s">
        <v>104</v>
      </c>
      <c r="C96" s="77" t="s">
        <v>639</v>
      </c>
      <c r="D96" s="78" t="s">
        <v>746</v>
      </c>
      <c r="E96" s="78" t="s">
        <v>524</v>
      </c>
      <c r="F96" s="30" t="s">
        <v>770</v>
      </c>
      <c r="G96" s="30" t="s">
        <v>332</v>
      </c>
      <c r="H96" s="30" t="s">
        <v>333</v>
      </c>
      <c r="I96" s="29" t="s">
        <v>238</v>
      </c>
      <c r="J96" s="79"/>
      <c r="K96" s="29"/>
      <c r="L96" s="29">
        <v>2</v>
      </c>
      <c r="M96" s="30" t="s">
        <v>396</v>
      </c>
      <c r="N96" s="100"/>
    </row>
    <row r="97" spans="1:14" ht="75.5">
      <c r="A97" s="37"/>
      <c r="B97" s="81" t="s">
        <v>107</v>
      </c>
      <c r="C97" s="82" t="s">
        <v>292</v>
      </c>
      <c r="D97" s="83" t="s">
        <v>4</v>
      </c>
      <c r="E97" s="83" t="s">
        <v>4</v>
      </c>
      <c r="F97" s="32" t="s">
        <v>649</v>
      </c>
      <c r="G97" s="32" t="s">
        <v>159</v>
      </c>
      <c r="H97" s="32" t="s">
        <v>690</v>
      </c>
      <c r="I97" s="31" t="s">
        <v>3</v>
      </c>
      <c r="J97" s="84"/>
      <c r="K97" s="31" t="s">
        <v>60</v>
      </c>
      <c r="L97" s="31">
        <v>1</v>
      </c>
      <c r="M97" s="32" t="s">
        <v>389</v>
      </c>
      <c r="N97" s="100"/>
    </row>
    <row r="98" spans="1:14" ht="50.5">
      <c r="A98" s="37"/>
      <c r="B98" s="81" t="s">
        <v>24</v>
      </c>
      <c r="C98" s="82" t="s">
        <v>293</v>
      </c>
      <c r="D98" s="83" t="s">
        <v>4</v>
      </c>
      <c r="E98" s="83" t="s">
        <v>4</v>
      </c>
      <c r="F98" s="32" t="s">
        <v>394</v>
      </c>
      <c r="G98" s="32" t="s">
        <v>334</v>
      </c>
      <c r="H98" s="32" t="s">
        <v>336</v>
      </c>
      <c r="I98" s="31" t="s">
        <v>63</v>
      </c>
      <c r="J98" s="84"/>
      <c r="K98" s="31"/>
      <c r="L98" s="31">
        <v>2</v>
      </c>
      <c r="M98" s="32" t="s">
        <v>396</v>
      </c>
      <c r="N98" s="100"/>
    </row>
    <row r="99" spans="1:14" ht="50.5">
      <c r="A99" s="37"/>
      <c r="B99" s="81" t="s">
        <v>24</v>
      </c>
      <c r="C99" s="82" t="s">
        <v>294</v>
      </c>
      <c r="D99" s="83" t="s">
        <v>4</v>
      </c>
      <c r="E99" s="83" t="s">
        <v>4</v>
      </c>
      <c r="F99" s="32" t="s">
        <v>395</v>
      </c>
      <c r="G99" s="32" t="s">
        <v>335</v>
      </c>
      <c r="H99" s="32" t="s">
        <v>336</v>
      </c>
      <c r="I99" s="31" t="s">
        <v>63</v>
      </c>
      <c r="J99" s="84"/>
      <c r="K99" s="31"/>
      <c r="L99" s="31">
        <v>2</v>
      </c>
      <c r="M99" s="32" t="s">
        <v>396</v>
      </c>
      <c r="N99" s="100"/>
    </row>
    <row r="100" spans="1:14" ht="75.5">
      <c r="A100" s="37"/>
      <c r="B100" s="81" t="s">
        <v>105</v>
      </c>
      <c r="C100" s="82" t="s">
        <v>650</v>
      </c>
      <c r="D100" s="83" t="s">
        <v>4</v>
      </c>
      <c r="E100" s="83" t="s">
        <v>4</v>
      </c>
      <c r="F100" s="32" t="s">
        <v>83</v>
      </c>
      <c r="G100" s="32" t="s">
        <v>160</v>
      </c>
      <c r="H100" s="32" t="s">
        <v>356</v>
      </c>
      <c r="I100" s="31" t="s">
        <v>61</v>
      </c>
      <c r="J100" s="84"/>
      <c r="K100" s="31" t="s">
        <v>60</v>
      </c>
      <c r="L100" s="31">
        <v>2</v>
      </c>
      <c r="M100" s="32" t="s">
        <v>61</v>
      </c>
      <c r="N100" s="100"/>
    </row>
    <row r="101" spans="1:14" ht="75.5">
      <c r="A101" s="37"/>
      <c r="B101" s="81" t="s">
        <v>106</v>
      </c>
      <c r="C101" s="82" t="s">
        <v>651</v>
      </c>
      <c r="D101" s="83" t="s">
        <v>4</v>
      </c>
      <c r="E101" s="83" t="s">
        <v>4</v>
      </c>
      <c r="F101" s="32" t="s">
        <v>245</v>
      </c>
      <c r="G101" s="32" t="s">
        <v>161</v>
      </c>
      <c r="H101" s="32" t="s">
        <v>357</v>
      </c>
      <c r="I101" s="31" t="s">
        <v>766</v>
      </c>
      <c r="J101" s="84"/>
      <c r="K101" s="31" t="s">
        <v>60</v>
      </c>
      <c r="L101" s="31">
        <v>2</v>
      </c>
      <c r="M101" s="32"/>
      <c r="N101" s="100"/>
    </row>
    <row r="102" spans="1:14" ht="38">
      <c r="A102" s="37"/>
      <c r="B102" s="81"/>
      <c r="C102" s="82" t="s">
        <v>652</v>
      </c>
      <c r="D102" s="83" t="s">
        <v>4</v>
      </c>
      <c r="E102" s="83" t="s">
        <v>205</v>
      </c>
      <c r="F102" s="32" t="s">
        <v>195</v>
      </c>
      <c r="G102" s="32" t="s">
        <v>196</v>
      </c>
      <c r="H102" s="32" t="s">
        <v>197</v>
      </c>
      <c r="I102" s="31" t="s">
        <v>37</v>
      </c>
      <c r="J102" s="84"/>
      <c r="K102" s="31"/>
      <c r="L102" s="31">
        <v>1</v>
      </c>
      <c r="M102" s="32"/>
      <c r="N102" s="100"/>
    </row>
    <row r="103" spans="1:14" ht="38">
      <c r="A103" s="37"/>
      <c r="B103" s="81"/>
      <c r="C103" s="82" t="s">
        <v>653</v>
      </c>
      <c r="D103" s="83" t="s">
        <v>4</v>
      </c>
      <c r="E103" s="83" t="s">
        <v>205</v>
      </c>
      <c r="F103" s="32" t="s">
        <v>198</v>
      </c>
      <c r="G103" s="32" t="s">
        <v>199</v>
      </c>
      <c r="H103" s="32" t="s">
        <v>200</v>
      </c>
      <c r="I103" s="31" t="s">
        <v>37</v>
      </c>
      <c r="J103" s="84"/>
      <c r="K103" s="31"/>
      <c r="L103" s="31">
        <v>1</v>
      </c>
      <c r="M103" s="32"/>
      <c r="N103" s="100"/>
    </row>
    <row r="104" spans="1:14" ht="38">
      <c r="A104" s="37"/>
      <c r="B104" s="81"/>
      <c r="C104" s="82" t="s">
        <v>654</v>
      </c>
      <c r="D104" s="83" t="s">
        <v>4</v>
      </c>
      <c r="E104" s="83" t="s">
        <v>205</v>
      </c>
      <c r="F104" s="32" t="s">
        <v>201</v>
      </c>
      <c r="G104" s="32" t="s">
        <v>202</v>
      </c>
      <c r="H104" s="32" t="s">
        <v>197</v>
      </c>
      <c r="I104" s="31" t="s">
        <v>37</v>
      </c>
      <c r="J104" s="84"/>
      <c r="K104" s="31"/>
      <c r="L104" s="31">
        <v>1</v>
      </c>
      <c r="M104" s="32"/>
      <c r="N104" s="100"/>
    </row>
    <row r="105" spans="1:14" ht="38">
      <c r="A105" s="37"/>
      <c r="B105" s="81"/>
      <c r="C105" s="82" t="s">
        <v>655</v>
      </c>
      <c r="D105" s="83" t="s">
        <v>4</v>
      </c>
      <c r="E105" s="83" t="s">
        <v>205</v>
      </c>
      <c r="F105" s="32" t="s">
        <v>203</v>
      </c>
      <c r="G105" s="32" t="s">
        <v>204</v>
      </c>
      <c r="H105" s="32" t="s">
        <v>197</v>
      </c>
      <c r="I105" s="31" t="s">
        <v>37</v>
      </c>
      <c r="J105" s="84"/>
      <c r="K105" s="31"/>
      <c r="L105" s="31">
        <v>1</v>
      </c>
      <c r="M105" s="32"/>
      <c r="N105" s="100"/>
    </row>
    <row r="106" spans="1:14" ht="50.5">
      <c r="A106" s="37"/>
      <c r="B106" s="81"/>
      <c r="C106" s="82" t="s">
        <v>658</v>
      </c>
      <c r="D106" s="83" t="s">
        <v>4</v>
      </c>
      <c r="E106" s="83" t="s">
        <v>205</v>
      </c>
      <c r="F106" s="32" t="s">
        <v>250</v>
      </c>
      <c r="G106" s="32" t="s">
        <v>206</v>
      </c>
      <c r="H106" s="32" t="s">
        <v>208</v>
      </c>
      <c r="I106" s="31" t="s">
        <v>37</v>
      </c>
      <c r="J106" s="84"/>
      <c r="K106" s="31"/>
      <c r="L106" s="31">
        <v>2</v>
      </c>
      <c r="M106" s="32" t="s">
        <v>390</v>
      </c>
      <c r="N106" s="100"/>
    </row>
    <row r="107" spans="1:14" ht="150.5">
      <c r="A107" s="37"/>
      <c r="B107" s="81"/>
      <c r="C107" s="82" t="s">
        <v>296</v>
      </c>
      <c r="D107" s="83" t="s">
        <v>4</v>
      </c>
      <c r="E107" s="83" t="s">
        <v>205</v>
      </c>
      <c r="F107" s="32" t="s">
        <v>207</v>
      </c>
      <c r="G107" s="32" t="s">
        <v>477</v>
      </c>
      <c r="H107" s="32" t="s">
        <v>478</v>
      </c>
      <c r="I107" s="31" t="s">
        <v>37</v>
      </c>
      <c r="J107" s="84"/>
      <c r="K107" s="31"/>
      <c r="L107" s="31">
        <v>2</v>
      </c>
      <c r="M107" s="32"/>
      <c r="N107" s="100"/>
    </row>
    <row r="108" spans="1:14" ht="50.5">
      <c r="A108" s="37"/>
      <c r="B108" s="81"/>
      <c r="C108" s="82" t="s">
        <v>295</v>
      </c>
      <c r="D108" s="83" t="s">
        <v>4</v>
      </c>
      <c r="E108" s="83" t="s">
        <v>525</v>
      </c>
      <c r="F108" s="32" t="s">
        <v>479</v>
      </c>
      <c r="G108" s="32" t="s">
        <v>480</v>
      </c>
      <c r="H108" s="32" t="s">
        <v>481</v>
      </c>
      <c r="I108" s="31"/>
      <c r="J108" s="84"/>
      <c r="K108" s="31"/>
      <c r="L108" s="31">
        <v>1</v>
      </c>
      <c r="M108" s="32"/>
      <c r="N108" s="100"/>
    </row>
    <row r="109" spans="1:14" ht="88">
      <c r="A109" s="37"/>
      <c r="B109" s="81"/>
      <c r="C109" s="82" t="s">
        <v>297</v>
      </c>
      <c r="D109" s="83" t="s">
        <v>4</v>
      </c>
      <c r="E109" s="83" t="s">
        <v>485</v>
      </c>
      <c r="F109" s="32" t="s">
        <v>656</v>
      </c>
      <c r="G109" s="32" t="s">
        <v>482</v>
      </c>
      <c r="H109" s="32" t="s">
        <v>484</v>
      </c>
      <c r="I109" s="31" t="s">
        <v>38</v>
      </c>
      <c r="J109" s="84"/>
      <c r="K109" s="31"/>
      <c r="L109" s="31">
        <v>1</v>
      </c>
      <c r="M109" s="32"/>
      <c r="N109" s="100" t="s">
        <v>811</v>
      </c>
    </row>
    <row r="110" spans="1:14" ht="88">
      <c r="A110" s="37"/>
      <c r="B110" s="81"/>
      <c r="C110" s="82" t="s">
        <v>298</v>
      </c>
      <c r="D110" s="83" t="s">
        <v>4</v>
      </c>
      <c r="E110" s="83" t="s">
        <v>385</v>
      </c>
      <c r="F110" s="32" t="s">
        <v>657</v>
      </c>
      <c r="G110" s="32" t="s">
        <v>483</v>
      </c>
      <c r="H110" s="32" t="s">
        <v>484</v>
      </c>
      <c r="I110" s="31" t="s">
        <v>38</v>
      </c>
      <c r="J110" s="84"/>
      <c r="K110" s="31"/>
      <c r="L110" s="31">
        <v>1</v>
      </c>
      <c r="M110" s="32"/>
      <c r="N110" s="100" t="s">
        <v>812</v>
      </c>
    </row>
    <row r="111" spans="1:14" ht="88">
      <c r="A111" s="37"/>
      <c r="B111" s="81"/>
      <c r="C111" s="82" t="s">
        <v>607</v>
      </c>
      <c r="D111" s="83" t="s">
        <v>4</v>
      </c>
      <c r="E111" s="83" t="s">
        <v>205</v>
      </c>
      <c r="F111" s="32" t="s">
        <v>539</v>
      </c>
      <c r="G111" s="32" t="s">
        <v>373</v>
      </c>
      <c r="H111" s="32" t="s">
        <v>358</v>
      </c>
      <c r="I111" s="31" t="s">
        <v>37</v>
      </c>
      <c r="J111" s="84" t="s">
        <v>12</v>
      </c>
      <c r="K111" s="31"/>
      <c r="L111" s="31">
        <v>1</v>
      </c>
      <c r="M111" s="32"/>
      <c r="N111" s="100"/>
    </row>
    <row r="112" spans="1:14" ht="88">
      <c r="A112" s="37"/>
      <c r="B112" s="81" t="s">
        <v>108</v>
      </c>
      <c r="C112" s="82" t="s">
        <v>659</v>
      </c>
      <c r="D112" s="83" t="s">
        <v>660</v>
      </c>
      <c r="E112" s="83" t="s">
        <v>610</v>
      </c>
      <c r="F112" s="32" t="s">
        <v>540</v>
      </c>
      <c r="G112" s="32" t="s">
        <v>373</v>
      </c>
      <c r="H112" s="32" t="s">
        <v>358</v>
      </c>
      <c r="I112" s="31" t="s">
        <v>37</v>
      </c>
      <c r="J112" s="84" t="s">
        <v>553</v>
      </c>
      <c r="K112" s="31"/>
      <c r="L112" s="31" t="s">
        <v>756</v>
      </c>
      <c r="M112" s="32"/>
      <c r="N112" s="100"/>
    </row>
    <row r="113" spans="1:14" ht="213">
      <c r="A113" s="37"/>
      <c r="B113" s="67" t="s">
        <v>93</v>
      </c>
      <c r="C113" s="68" t="s">
        <v>711</v>
      </c>
      <c r="D113" s="85" t="s">
        <v>526</v>
      </c>
      <c r="E113" s="85" t="s">
        <v>489</v>
      </c>
      <c r="F113" s="22" t="s">
        <v>710</v>
      </c>
      <c r="G113" s="22" t="s">
        <v>708</v>
      </c>
      <c r="H113" s="22" t="s">
        <v>709</v>
      </c>
      <c r="I113" s="21" t="s">
        <v>38</v>
      </c>
      <c r="J113" s="22" t="s">
        <v>234</v>
      </c>
      <c r="K113" s="21" t="s">
        <v>60</v>
      </c>
      <c r="L113" s="31">
        <v>2</v>
      </c>
      <c r="M113" s="32"/>
      <c r="N113" s="100"/>
    </row>
    <row r="114" spans="1:14" ht="239">
      <c r="A114" s="37"/>
      <c r="B114" s="67" t="s">
        <v>93</v>
      </c>
      <c r="C114" s="68" t="s">
        <v>676</v>
      </c>
      <c r="D114" s="85" t="s">
        <v>526</v>
      </c>
      <c r="E114" s="85" t="s">
        <v>489</v>
      </c>
      <c r="F114" s="22" t="s">
        <v>675</v>
      </c>
      <c r="G114" s="22" t="s">
        <v>677</v>
      </c>
      <c r="H114" s="22" t="s">
        <v>678</v>
      </c>
      <c r="I114" s="21" t="s">
        <v>37</v>
      </c>
      <c r="J114" s="22"/>
      <c r="K114" s="21" t="s">
        <v>60</v>
      </c>
      <c r="L114" s="31">
        <v>2</v>
      </c>
      <c r="M114" s="32"/>
      <c r="N114" s="100"/>
    </row>
    <row r="115" spans="1:14" ht="188">
      <c r="A115" s="37"/>
      <c r="B115" s="67"/>
      <c r="C115" s="68" t="s">
        <v>267</v>
      </c>
      <c r="D115" s="85" t="s">
        <v>527</v>
      </c>
      <c r="E115" s="85" t="s">
        <v>490</v>
      </c>
      <c r="F115" s="22" t="s">
        <v>679</v>
      </c>
      <c r="G115" s="22" t="s">
        <v>680</v>
      </c>
      <c r="H115" s="22" t="s">
        <v>491</v>
      </c>
      <c r="I115" s="21" t="s">
        <v>37</v>
      </c>
      <c r="J115" s="22" t="s">
        <v>48</v>
      </c>
      <c r="K115" s="21"/>
      <c r="L115" s="31">
        <v>2</v>
      </c>
      <c r="M115" s="32"/>
      <c r="N115" s="100"/>
    </row>
    <row r="116" spans="1:14" ht="21">
      <c r="A116" s="37"/>
      <c r="B116" s="56" t="s">
        <v>99</v>
      </c>
      <c r="C116" s="68" t="s">
        <v>682</v>
      </c>
      <c r="D116" s="85" t="s">
        <v>528</v>
      </c>
      <c r="E116" s="85" t="s">
        <v>45</v>
      </c>
      <c r="F116" s="22" t="s">
        <v>59</v>
      </c>
      <c r="G116" s="22" t="s">
        <v>162</v>
      </c>
      <c r="H116" s="22" t="s">
        <v>163</v>
      </c>
      <c r="I116" s="21" t="s">
        <v>37</v>
      </c>
      <c r="J116" s="59"/>
      <c r="K116" s="21" t="s">
        <v>60</v>
      </c>
      <c r="L116" s="31">
        <v>2</v>
      </c>
      <c r="M116" s="32"/>
      <c r="N116" s="100"/>
    </row>
    <row r="117" spans="1:14" ht="88">
      <c r="A117" s="37"/>
      <c r="B117" s="56" t="s">
        <v>100</v>
      </c>
      <c r="C117" s="68" t="s">
        <v>684</v>
      </c>
      <c r="D117" s="85" t="s">
        <v>528</v>
      </c>
      <c r="E117" s="85" t="s">
        <v>45</v>
      </c>
      <c r="F117" s="22" t="s">
        <v>683</v>
      </c>
      <c r="G117" s="22" t="s">
        <v>164</v>
      </c>
      <c r="H117" s="22" t="s">
        <v>165</v>
      </c>
      <c r="I117" s="21" t="s">
        <v>37</v>
      </c>
      <c r="J117" s="59"/>
      <c r="K117" s="21" t="s">
        <v>60</v>
      </c>
      <c r="L117" s="31">
        <v>2</v>
      </c>
      <c r="M117" s="32"/>
      <c r="N117" s="100"/>
    </row>
    <row r="118" spans="1:14" ht="63">
      <c r="A118" s="37"/>
      <c r="B118" s="56"/>
      <c r="C118" s="68" t="s">
        <v>685</v>
      </c>
      <c r="D118" s="85" t="s">
        <v>529</v>
      </c>
      <c r="E118" s="85" t="s">
        <v>45</v>
      </c>
      <c r="F118" s="22" t="s">
        <v>215</v>
      </c>
      <c r="G118" s="22" t="s">
        <v>216</v>
      </c>
      <c r="H118" s="22" t="s">
        <v>217</v>
      </c>
      <c r="I118" s="21" t="s">
        <v>37</v>
      </c>
      <c r="J118" s="59"/>
      <c r="K118" s="21"/>
      <c r="L118" s="31">
        <v>2</v>
      </c>
      <c r="M118" s="32"/>
      <c r="N118" s="100"/>
    </row>
    <row r="119" spans="1:14" ht="63">
      <c r="A119" s="37"/>
      <c r="B119" s="56" t="s">
        <v>101</v>
      </c>
      <c r="C119" s="68" t="s">
        <v>628</v>
      </c>
      <c r="D119" s="85" t="s">
        <v>626</v>
      </c>
      <c r="E119" s="85" t="s">
        <v>45</v>
      </c>
      <c r="F119" s="22" t="s">
        <v>630</v>
      </c>
      <c r="G119" s="22" t="s">
        <v>449</v>
      </c>
      <c r="H119" s="22" t="s">
        <v>450</v>
      </c>
      <c r="I119" s="21" t="s">
        <v>38</v>
      </c>
      <c r="J119" s="59"/>
      <c r="K119" s="21" t="s">
        <v>60</v>
      </c>
      <c r="L119" s="31">
        <v>2</v>
      </c>
      <c r="M119" s="32"/>
      <c r="N119" s="100"/>
    </row>
    <row r="120" spans="1:14" ht="88">
      <c r="A120" s="37"/>
      <c r="B120" s="56"/>
      <c r="C120" s="68" t="s">
        <v>633</v>
      </c>
      <c r="D120" s="85" t="s">
        <v>530</v>
      </c>
      <c r="E120" s="85" t="s">
        <v>45</v>
      </c>
      <c r="F120" s="22" t="s">
        <v>209</v>
      </c>
      <c r="G120" s="22" t="s">
        <v>210</v>
      </c>
      <c r="H120" s="22" t="s">
        <v>211</v>
      </c>
      <c r="I120" s="21" t="s">
        <v>38</v>
      </c>
      <c r="J120" s="59"/>
      <c r="K120" s="21"/>
      <c r="L120" s="31">
        <v>2</v>
      </c>
      <c r="M120" s="32"/>
      <c r="N120" s="100"/>
    </row>
    <row r="121" spans="1:14" ht="50.5">
      <c r="A121" s="37"/>
      <c r="B121" s="56"/>
      <c r="C121" s="68" t="s">
        <v>681</v>
      </c>
      <c r="D121" s="85" t="s">
        <v>530</v>
      </c>
      <c r="E121" s="85" t="s">
        <v>45</v>
      </c>
      <c r="F121" s="22" t="s">
        <v>212</v>
      </c>
      <c r="G121" s="22" t="s">
        <v>213</v>
      </c>
      <c r="H121" s="22" t="s">
        <v>214</v>
      </c>
      <c r="I121" s="21" t="s">
        <v>38</v>
      </c>
      <c r="J121" s="59" t="s">
        <v>391</v>
      </c>
      <c r="K121" s="21"/>
      <c r="L121" s="31">
        <v>2</v>
      </c>
      <c r="M121" s="32"/>
      <c r="N121" s="100"/>
    </row>
    <row r="122" spans="1:14" ht="238">
      <c r="A122" s="37"/>
      <c r="B122" s="56"/>
      <c r="C122" s="68" t="s">
        <v>494</v>
      </c>
      <c r="D122" s="85" t="s">
        <v>531</v>
      </c>
      <c r="E122" s="85" t="s">
        <v>45</v>
      </c>
      <c r="F122" s="22" t="s">
        <v>492</v>
      </c>
      <c r="G122" s="22" t="s">
        <v>493</v>
      </c>
      <c r="H122" s="22" t="s">
        <v>184</v>
      </c>
      <c r="I122" s="21" t="s">
        <v>38</v>
      </c>
      <c r="J122" s="59"/>
      <c r="K122" s="21"/>
      <c r="L122" s="31">
        <v>2</v>
      </c>
      <c r="M122" s="32"/>
      <c r="N122" s="100"/>
    </row>
    <row r="123" spans="1:14" ht="25.5">
      <c r="A123" s="37"/>
      <c r="B123" s="56" t="s">
        <v>24</v>
      </c>
      <c r="C123" s="68" t="s">
        <v>686</v>
      </c>
      <c r="D123" s="85" t="s">
        <v>532</v>
      </c>
      <c r="E123" s="85" t="s">
        <v>45</v>
      </c>
      <c r="F123" s="22" t="s">
        <v>25</v>
      </c>
      <c r="G123" s="22" t="s">
        <v>173</v>
      </c>
      <c r="H123" s="22" t="s">
        <v>173</v>
      </c>
      <c r="I123" s="21" t="s">
        <v>37</v>
      </c>
      <c r="J123" s="59"/>
      <c r="K123" s="21"/>
      <c r="L123" s="31">
        <v>2</v>
      </c>
      <c r="M123" s="32" t="s">
        <v>396</v>
      </c>
      <c r="N123" s="100"/>
    </row>
    <row r="124" spans="1:14" ht="25.5">
      <c r="A124" s="37"/>
      <c r="B124" s="56" t="s">
        <v>24</v>
      </c>
      <c r="C124" s="68" t="s">
        <v>687</v>
      </c>
      <c r="D124" s="85" t="s">
        <v>535</v>
      </c>
      <c r="E124" s="85" t="s">
        <v>45</v>
      </c>
      <c r="F124" s="22" t="s">
        <v>26</v>
      </c>
      <c r="G124" s="22" t="s">
        <v>173</v>
      </c>
      <c r="H124" s="22" t="s">
        <v>173</v>
      </c>
      <c r="I124" s="21" t="s">
        <v>38</v>
      </c>
      <c r="J124" s="59"/>
      <c r="K124" s="21"/>
      <c r="L124" s="31">
        <v>2</v>
      </c>
      <c r="M124" s="32" t="s">
        <v>396</v>
      </c>
      <c r="N124" s="100"/>
    </row>
    <row r="125" spans="1:14" ht="213">
      <c r="A125" s="37"/>
      <c r="B125" s="71" t="s">
        <v>88</v>
      </c>
      <c r="C125" s="72" t="s">
        <v>588</v>
      </c>
      <c r="D125" s="86" t="s">
        <v>12</v>
      </c>
      <c r="E125" s="86" t="s">
        <v>12</v>
      </c>
      <c r="F125" s="28" t="s">
        <v>589</v>
      </c>
      <c r="G125" s="28" t="s">
        <v>496</v>
      </c>
      <c r="H125" s="28" t="s">
        <v>497</v>
      </c>
      <c r="I125" s="27" t="s">
        <v>37</v>
      </c>
      <c r="J125" s="74" t="s">
        <v>13</v>
      </c>
      <c r="K125" s="27" t="s">
        <v>60</v>
      </c>
      <c r="L125" s="27">
        <v>3</v>
      </c>
      <c r="M125" s="28"/>
      <c r="N125" s="100"/>
    </row>
    <row r="126" spans="1:14" ht="125.5">
      <c r="A126" s="37"/>
      <c r="B126" s="71" t="s">
        <v>88</v>
      </c>
      <c r="C126" s="72" t="s">
        <v>588</v>
      </c>
      <c r="D126" s="86" t="s">
        <v>12</v>
      </c>
      <c r="E126" s="86" t="s">
        <v>740</v>
      </c>
      <c r="F126" s="28" t="s">
        <v>595</v>
      </c>
      <c r="G126" s="28" t="s">
        <v>590</v>
      </c>
      <c r="H126" s="28" t="s">
        <v>495</v>
      </c>
      <c r="I126" s="27" t="s">
        <v>37</v>
      </c>
      <c r="J126" s="74" t="s">
        <v>13</v>
      </c>
      <c r="K126" s="27" t="s">
        <v>60</v>
      </c>
      <c r="L126" s="27">
        <v>3</v>
      </c>
      <c r="M126" s="28"/>
      <c r="N126" s="100" t="s">
        <v>808</v>
      </c>
    </row>
    <row r="127" spans="1:14" ht="63">
      <c r="A127" s="37"/>
      <c r="B127" s="71"/>
      <c r="C127" s="72" t="s">
        <v>591</v>
      </c>
      <c r="D127" s="86" t="s">
        <v>12</v>
      </c>
      <c r="E127" s="86" t="s">
        <v>740</v>
      </c>
      <c r="F127" s="28" t="s">
        <v>593</v>
      </c>
      <c r="G127" s="28" t="s">
        <v>501</v>
      </c>
      <c r="H127" s="28" t="s">
        <v>500</v>
      </c>
      <c r="I127" s="27" t="s">
        <v>37</v>
      </c>
      <c r="J127" s="74"/>
      <c r="K127" s="27"/>
      <c r="L127" s="27">
        <v>3</v>
      </c>
      <c r="M127" s="28"/>
      <c r="N127" s="100" t="s">
        <v>806</v>
      </c>
    </row>
    <row r="128" spans="1:14" ht="25.5">
      <c r="A128" s="37"/>
      <c r="B128" s="71"/>
      <c r="C128" s="72" t="s">
        <v>592</v>
      </c>
      <c r="D128" s="86" t="s">
        <v>12</v>
      </c>
      <c r="E128" s="86" t="s">
        <v>740</v>
      </c>
      <c r="F128" s="28" t="s">
        <v>594</v>
      </c>
      <c r="G128" s="28" t="s">
        <v>498</v>
      </c>
      <c r="H128" s="28" t="s">
        <v>499</v>
      </c>
      <c r="I128" s="27" t="s">
        <v>37</v>
      </c>
      <c r="J128" s="74"/>
      <c r="K128" s="27"/>
      <c r="L128" s="27">
        <v>3</v>
      </c>
      <c r="M128" s="28"/>
      <c r="N128" s="100" t="s">
        <v>806</v>
      </c>
    </row>
    <row r="129" spans="1:14" ht="138">
      <c r="A129" s="37"/>
      <c r="B129" s="71" t="s">
        <v>89</v>
      </c>
      <c r="C129" s="72" t="s">
        <v>596</v>
      </c>
      <c r="D129" s="87" t="s">
        <v>231</v>
      </c>
      <c r="E129" s="86" t="s">
        <v>12</v>
      </c>
      <c r="F129" s="28" t="s">
        <v>23</v>
      </c>
      <c r="G129" s="28" t="s">
        <v>166</v>
      </c>
      <c r="H129" s="28" t="s">
        <v>359</v>
      </c>
      <c r="I129" s="27" t="s">
        <v>37</v>
      </c>
      <c r="J129" s="74"/>
      <c r="K129" s="27"/>
      <c r="L129" s="27">
        <v>3</v>
      </c>
      <c r="M129" s="28" t="s">
        <v>797</v>
      </c>
      <c r="N129" s="100"/>
    </row>
    <row r="130" spans="1:14" ht="88">
      <c r="A130" s="37"/>
      <c r="B130" s="71" t="s">
        <v>9</v>
      </c>
      <c r="C130" s="72" t="s">
        <v>597</v>
      </c>
      <c r="D130" s="87" t="s">
        <v>231</v>
      </c>
      <c r="E130" s="86" t="s">
        <v>12</v>
      </c>
      <c r="F130" s="28" t="s">
        <v>769</v>
      </c>
      <c r="G130" s="28" t="s">
        <v>337</v>
      </c>
      <c r="H130" s="28" t="s">
        <v>338</v>
      </c>
      <c r="I130" s="27" t="s">
        <v>62</v>
      </c>
      <c r="J130" s="74"/>
      <c r="K130" s="27"/>
      <c r="L130" s="27">
        <v>2</v>
      </c>
      <c r="M130" s="28"/>
      <c r="N130" s="100"/>
    </row>
    <row r="131" spans="1:14" ht="100.5">
      <c r="A131" s="37"/>
      <c r="B131" s="71" t="s">
        <v>92</v>
      </c>
      <c r="C131" s="72" t="s">
        <v>297</v>
      </c>
      <c r="D131" s="87" t="s">
        <v>231</v>
      </c>
      <c r="E131" s="86" t="s">
        <v>485</v>
      </c>
      <c r="F131" s="28" t="s">
        <v>242</v>
      </c>
      <c r="G131" s="28" t="s">
        <v>502</v>
      </c>
      <c r="H131" s="28" t="s">
        <v>504</v>
      </c>
      <c r="I131" s="27" t="s">
        <v>37</v>
      </c>
      <c r="J131" s="74"/>
      <c r="K131" s="27" t="s">
        <v>60</v>
      </c>
      <c r="L131" s="27">
        <v>1</v>
      </c>
      <c r="M131" s="28"/>
      <c r="N131" s="100" t="s">
        <v>805</v>
      </c>
    </row>
    <row r="132" spans="1:14" ht="75.5">
      <c r="A132" s="37"/>
      <c r="B132" s="71" t="s">
        <v>92</v>
      </c>
      <c r="C132" s="72" t="s">
        <v>298</v>
      </c>
      <c r="D132" s="87" t="s">
        <v>231</v>
      </c>
      <c r="E132" s="86" t="s">
        <v>737</v>
      </c>
      <c r="F132" s="28" t="s">
        <v>360</v>
      </c>
      <c r="G132" s="28" t="s">
        <v>503</v>
      </c>
      <c r="H132" s="28" t="s">
        <v>504</v>
      </c>
      <c r="I132" s="27" t="s">
        <v>37</v>
      </c>
      <c r="J132" s="74"/>
      <c r="K132" s="27" t="s">
        <v>60</v>
      </c>
      <c r="L132" s="27">
        <v>1</v>
      </c>
      <c r="M132" s="28"/>
      <c r="N132" s="100"/>
    </row>
    <row r="133" spans="1:14" ht="38">
      <c r="A133" s="37"/>
      <c r="B133" s="71" t="s">
        <v>9</v>
      </c>
      <c r="C133" s="72" t="s">
        <v>299</v>
      </c>
      <c r="D133" s="87" t="s">
        <v>231</v>
      </c>
      <c r="E133" s="86" t="s">
        <v>741</v>
      </c>
      <c r="F133" s="28" t="s">
        <v>84</v>
      </c>
      <c r="G133" s="28" t="s">
        <v>167</v>
      </c>
      <c r="H133" s="28" t="s">
        <v>361</v>
      </c>
      <c r="I133" s="27" t="s">
        <v>37</v>
      </c>
      <c r="J133" s="74" t="s">
        <v>554</v>
      </c>
      <c r="K133" s="27" t="s">
        <v>60</v>
      </c>
      <c r="L133" s="27">
        <v>3</v>
      </c>
      <c r="M133" s="28"/>
      <c r="N133" s="100"/>
    </row>
    <row r="134" spans="1:14" ht="113">
      <c r="A134" s="37"/>
      <c r="B134" s="71"/>
      <c r="C134" s="72" t="s">
        <v>598</v>
      </c>
      <c r="D134" s="66" t="s">
        <v>231</v>
      </c>
      <c r="E134" s="86" t="s">
        <v>742</v>
      </c>
      <c r="F134" s="28" t="s">
        <v>362</v>
      </c>
      <c r="G134" s="28" t="s">
        <v>374</v>
      </c>
      <c r="H134" s="28" t="s">
        <v>363</v>
      </c>
      <c r="I134" s="27"/>
      <c r="J134" s="74"/>
      <c r="K134" s="27"/>
      <c r="L134" s="27">
        <v>3</v>
      </c>
      <c r="M134" s="28"/>
      <c r="N134" s="100"/>
    </row>
    <row r="135" spans="1:14" ht="50.5">
      <c r="A135" s="37"/>
      <c r="B135" s="71" t="s">
        <v>382</v>
      </c>
      <c r="C135" s="72" t="s">
        <v>670</v>
      </c>
      <c r="D135" s="87" t="s">
        <v>231</v>
      </c>
      <c r="E135" s="86" t="s">
        <v>738</v>
      </c>
      <c r="F135" s="28" t="s">
        <v>47</v>
      </c>
      <c r="G135" s="28" t="s">
        <v>168</v>
      </c>
      <c r="H135" s="28" t="s">
        <v>364</v>
      </c>
      <c r="I135" s="27" t="s">
        <v>37</v>
      </c>
      <c r="J135" s="74" t="s">
        <v>561</v>
      </c>
      <c r="K135" s="27" t="s">
        <v>60</v>
      </c>
      <c r="L135" s="27">
        <v>3</v>
      </c>
      <c r="M135" s="28"/>
      <c r="N135" s="100"/>
    </row>
    <row r="136" spans="1:14" ht="125.5">
      <c r="A136" s="37"/>
      <c r="B136" s="71"/>
      <c r="C136" s="72" t="s">
        <v>671</v>
      </c>
      <c r="D136" s="87" t="s">
        <v>231</v>
      </c>
      <c r="E136" s="86" t="s">
        <v>739</v>
      </c>
      <c r="F136" s="28" t="s">
        <v>247</v>
      </c>
      <c r="G136" s="28" t="s">
        <v>246</v>
      </c>
      <c r="H136" s="28" t="s">
        <v>365</v>
      </c>
      <c r="I136" s="27" t="s">
        <v>37</v>
      </c>
      <c r="J136" s="74" t="s">
        <v>534</v>
      </c>
      <c r="K136" s="27"/>
      <c r="L136" s="27">
        <v>3</v>
      </c>
      <c r="M136" s="28"/>
      <c r="N136" s="100"/>
    </row>
    <row r="137" spans="1:14" ht="138">
      <c r="A137" s="37"/>
      <c r="B137" s="71" t="s">
        <v>91</v>
      </c>
      <c r="C137" s="72" t="s">
        <v>300</v>
      </c>
      <c r="D137" s="87" t="s">
        <v>231</v>
      </c>
      <c r="E137" s="86" t="s">
        <v>738</v>
      </c>
      <c r="F137" s="28" t="s">
        <v>768</v>
      </c>
      <c r="G137" s="28" t="s">
        <v>775</v>
      </c>
      <c r="H137" s="28" t="s">
        <v>776</v>
      </c>
      <c r="I137" s="27" t="s">
        <v>62</v>
      </c>
      <c r="J137" s="74" t="s">
        <v>562</v>
      </c>
      <c r="K137" s="27"/>
      <c r="L137" s="27">
        <v>3</v>
      </c>
      <c r="M137" s="28" t="s">
        <v>396</v>
      </c>
      <c r="N137" s="100"/>
    </row>
    <row r="138" spans="1:14" ht="388">
      <c r="A138" s="37"/>
      <c r="B138" s="71" t="s">
        <v>90</v>
      </c>
      <c r="C138" s="72" t="s">
        <v>585</v>
      </c>
      <c r="D138" s="66" t="s">
        <v>744</v>
      </c>
      <c r="E138" s="86" t="s">
        <v>453</v>
      </c>
      <c r="F138" s="28" t="s">
        <v>27</v>
      </c>
      <c r="G138" s="28" t="s">
        <v>169</v>
      </c>
      <c r="H138" s="28" t="s">
        <v>366</v>
      </c>
      <c r="I138" s="27" t="s">
        <v>37</v>
      </c>
      <c r="J138" s="74" t="s">
        <v>563</v>
      </c>
      <c r="K138" s="27"/>
      <c r="L138" s="27" t="s">
        <v>757</v>
      </c>
      <c r="M138" s="28"/>
      <c r="N138" s="100"/>
    </row>
    <row r="139" spans="1:14" ht="50.5">
      <c r="A139" s="37"/>
      <c r="B139" s="71"/>
      <c r="C139" s="72" t="s">
        <v>587</v>
      </c>
      <c r="D139" s="66" t="s">
        <v>231</v>
      </c>
      <c r="E139" s="86" t="s">
        <v>534</v>
      </c>
      <c r="F139" s="28" t="s">
        <v>367</v>
      </c>
      <c r="G139" s="28" t="s">
        <v>368</v>
      </c>
      <c r="H139" s="28" t="s">
        <v>214</v>
      </c>
      <c r="I139" s="27" t="s">
        <v>37</v>
      </c>
      <c r="J139" s="74" t="s">
        <v>562</v>
      </c>
      <c r="K139" s="27"/>
      <c r="L139" s="27">
        <v>3</v>
      </c>
      <c r="M139" s="28"/>
      <c r="N139" s="100"/>
    </row>
    <row r="140" spans="1:14" ht="88">
      <c r="A140" s="37"/>
      <c r="B140" s="71"/>
      <c r="C140" s="72" t="s">
        <v>706</v>
      </c>
      <c r="D140" s="66" t="s">
        <v>743</v>
      </c>
      <c r="E140" s="66" t="s">
        <v>707</v>
      </c>
      <c r="F140" s="28" t="s">
        <v>691</v>
      </c>
      <c r="G140" s="28" t="s">
        <v>705</v>
      </c>
      <c r="H140" s="28" t="s">
        <v>249</v>
      </c>
      <c r="I140" s="27"/>
      <c r="J140" s="74"/>
      <c r="K140" s="27"/>
      <c r="L140" s="27" t="s">
        <v>757</v>
      </c>
      <c r="M140" s="28"/>
      <c r="N140" s="100"/>
    </row>
    <row r="141" spans="1:14" ht="250.5">
      <c r="A141" s="37"/>
      <c r="B141" s="71" t="s">
        <v>87</v>
      </c>
      <c r="C141" s="72" t="s">
        <v>301</v>
      </c>
      <c r="D141" s="66" t="s">
        <v>12</v>
      </c>
      <c r="E141" s="86" t="s">
        <v>564</v>
      </c>
      <c r="F141" s="28" t="s">
        <v>28</v>
      </c>
      <c r="G141" s="28" t="s">
        <v>777</v>
      </c>
      <c r="H141" s="28" t="s">
        <v>339</v>
      </c>
      <c r="I141" s="27" t="s">
        <v>241</v>
      </c>
      <c r="J141" s="74" t="s">
        <v>564</v>
      </c>
      <c r="K141" s="27"/>
      <c r="L141" s="27">
        <v>3</v>
      </c>
      <c r="M141" s="28"/>
      <c r="N141" s="100"/>
    </row>
    <row r="142" spans="1:14" ht="300.5">
      <c r="A142" s="37"/>
      <c r="B142" s="71" t="s">
        <v>90</v>
      </c>
      <c r="C142" s="72" t="s">
        <v>586</v>
      </c>
      <c r="D142" s="66" t="s">
        <v>744</v>
      </c>
      <c r="E142" s="86" t="s">
        <v>564</v>
      </c>
      <c r="F142" s="28" t="s">
        <v>21</v>
      </c>
      <c r="G142" s="28" t="s">
        <v>169</v>
      </c>
      <c r="H142" s="28" t="s">
        <v>369</v>
      </c>
      <c r="I142" s="27" t="s">
        <v>37</v>
      </c>
      <c r="J142" s="74" t="s">
        <v>564</v>
      </c>
      <c r="K142" s="27"/>
      <c r="L142" s="27">
        <v>3</v>
      </c>
      <c r="M142" s="28"/>
      <c r="N142" s="100"/>
    </row>
    <row r="143" spans="1:14" ht="175.5">
      <c r="A143" s="37"/>
      <c r="B143" s="88"/>
      <c r="C143" s="89" t="s">
        <v>260</v>
      </c>
      <c r="D143" s="90" t="s">
        <v>555</v>
      </c>
      <c r="E143" s="90" t="s">
        <v>669</v>
      </c>
      <c r="F143" s="40" t="s">
        <v>74</v>
      </c>
      <c r="G143" s="40" t="s">
        <v>666</v>
      </c>
      <c r="H143" s="40" t="s">
        <v>667</v>
      </c>
      <c r="I143" s="33" t="s">
        <v>37</v>
      </c>
      <c r="J143" s="91" t="s">
        <v>550</v>
      </c>
      <c r="K143" s="33"/>
      <c r="L143" s="98">
        <v>2</v>
      </c>
      <c r="M143" s="91"/>
      <c r="N143" s="100"/>
    </row>
    <row r="144" spans="1:14">
      <c r="A144" s="37"/>
      <c r="B144" s="88"/>
      <c r="C144" s="89" t="s">
        <v>261</v>
      </c>
      <c r="D144" s="90" t="s">
        <v>555</v>
      </c>
      <c r="E144" s="90" t="s">
        <v>519</v>
      </c>
      <c r="F144" s="40" t="s">
        <v>192</v>
      </c>
      <c r="G144" s="40" t="s">
        <v>193</v>
      </c>
      <c r="H144" s="40" t="s">
        <v>488</v>
      </c>
      <c r="I144" s="33" t="s">
        <v>37</v>
      </c>
      <c r="J144" s="91"/>
      <c r="K144" s="33"/>
      <c r="L144" s="98">
        <v>2</v>
      </c>
      <c r="M144" s="91"/>
      <c r="N144" s="100"/>
    </row>
    <row r="145" spans="1:14" ht="150.5">
      <c r="A145" s="37"/>
      <c r="B145" s="88" t="s">
        <v>9</v>
      </c>
      <c r="C145" s="89" t="s">
        <v>302</v>
      </c>
      <c r="D145" s="90" t="s">
        <v>555</v>
      </c>
      <c r="E145" s="90" t="s">
        <v>48</v>
      </c>
      <c r="F145" s="40" t="s">
        <v>49</v>
      </c>
      <c r="G145" s="40" t="s">
        <v>778</v>
      </c>
      <c r="H145" s="92" t="s">
        <v>133</v>
      </c>
      <c r="I145" s="33" t="s">
        <v>755</v>
      </c>
      <c r="J145" s="91" t="s">
        <v>547</v>
      </c>
      <c r="K145" s="33" t="s">
        <v>60</v>
      </c>
      <c r="L145" s="98">
        <v>2</v>
      </c>
      <c r="M145" s="91" t="s">
        <v>392</v>
      </c>
      <c r="N145" s="100"/>
    </row>
    <row r="146" spans="1:14" ht="150.5">
      <c r="A146" s="37"/>
      <c r="B146" s="88" t="s">
        <v>9</v>
      </c>
      <c r="C146" s="89" t="s">
        <v>303</v>
      </c>
      <c r="D146" s="90" t="s">
        <v>555</v>
      </c>
      <c r="E146" s="90" t="s">
        <v>48</v>
      </c>
      <c r="F146" s="40" t="s">
        <v>50</v>
      </c>
      <c r="G146" s="40" t="s">
        <v>778</v>
      </c>
      <c r="H146" s="92" t="s">
        <v>133</v>
      </c>
      <c r="I146" s="33" t="s">
        <v>230</v>
      </c>
      <c r="J146" s="91"/>
      <c r="K146" s="33" t="s">
        <v>60</v>
      </c>
      <c r="L146" s="98" t="s">
        <v>760</v>
      </c>
      <c r="M146" s="91" t="s">
        <v>392</v>
      </c>
      <c r="N146" s="100"/>
    </row>
    <row r="147" spans="1:14" ht="150.5">
      <c r="A147" s="37"/>
      <c r="B147" s="88" t="s">
        <v>131</v>
      </c>
      <c r="C147" s="89" t="s">
        <v>304</v>
      </c>
      <c r="D147" s="90" t="s">
        <v>555</v>
      </c>
      <c r="E147" s="90" t="s">
        <v>48</v>
      </c>
      <c r="F147" s="40" t="s">
        <v>51</v>
      </c>
      <c r="G147" s="40" t="s">
        <v>778</v>
      </c>
      <c r="H147" s="92" t="s">
        <v>133</v>
      </c>
      <c r="I147" s="33" t="s">
        <v>230</v>
      </c>
      <c r="J147" s="91"/>
      <c r="K147" s="33" t="s">
        <v>60</v>
      </c>
      <c r="L147" s="98">
        <v>2</v>
      </c>
      <c r="M147" s="91" t="s">
        <v>392</v>
      </c>
      <c r="N147" s="100"/>
    </row>
    <row r="148" spans="1:14" ht="150.5">
      <c r="A148" s="37"/>
      <c r="B148" s="88" t="s">
        <v>132</v>
      </c>
      <c r="C148" s="89" t="s">
        <v>305</v>
      </c>
      <c r="D148" s="90" t="s">
        <v>555</v>
      </c>
      <c r="E148" s="90" t="s">
        <v>48</v>
      </c>
      <c r="F148" s="40" t="s">
        <v>52</v>
      </c>
      <c r="G148" s="40" t="s">
        <v>778</v>
      </c>
      <c r="H148" s="92" t="s">
        <v>133</v>
      </c>
      <c r="I148" s="33" t="s">
        <v>230</v>
      </c>
      <c r="J148" s="91" t="s">
        <v>547</v>
      </c>
      <c r="K148" s="33" t="s">
        <v>60</v>
      </c>
      <c r="L148" s="98">
        <v>2</v>
      </c>
      <c r="M148" s="91" t="s">
        <v>392</v>
      </c>
      <c r="N148" s="100"/>
    </row>
    <row r="149" spans="1:14" ht="150.5">
      <c r="A149" s="37"/>
      <c r="B149" s="88" t="s">
        <v>132</v>
      </c>
      <c r="C149" s="89" t="s">
        <v>306</v>
      </c>
      <c r="D149" s="90" t="s">
        <v>555</v>
      </c>
      <c r="E149" s="90" t="s">
        <v>48</v>
      </c>
      <c r="F149" s="40" t="s">
        <v>53</v>
      </c>
      <c r="G149" s="40" t="s">
        <v>778</v>
      </c>
      <c r="H149" s="92" t="s">
        <v>133</v>
      </c>
      <c r="I149" s="33" t="s">
        <v>230</v>
      </c>
      <c r="J149" s="91" t="s">
        <v>548</v>
      </c>
      <c r="K149" s="33" t="s">
        <v>60</v>
      </c>
      <c r="L149" s="98">
        <v>2</v>
      </c>
      <c r="M149" s="91" t="s">
        <v>392</v>
      </c>
      <c r="N149" s="100"/>
    </row>
    <row r="150" spans="1:14" ht="150.5">
      <c r="A150" s="37"/>
      <c r="B150" s="88" t="s">
        <v>132</v>
      </c>
      <c r="C150" s="89" t="s">
        <v>307</v>
      </c>
      <c r="D150" s="90" t="s">
        <v>555</v>
      </c>
      <c r="E150" s="90" t="s">
        <v>48</v>
      </c>
      <c r="F150" s="40" t="s">
        <v>54</v>
      </c>
      <c r="G150" s="40" t="s">
        <v>778</v>
      </c>
      <c r="H150" s="92" t="s">
        <v>133</v>
      </c>
      <c r="I150" s="33" t="s">
        <v>230</v>
      </c>
      <c r="J150" s="91" t="s">
        <v>548</v>
      </c>
      <c r="K150" s="33" t="s">
        <v>60</v>
      </c>
      <c r="L150" s="98">
        <v>2</v>
      </c>
      <c r="M150" s="91" t="s">
        <v>392</v>
      </c>
      <c r="N150" s="100"/>
    </row>
    <row r="151" spans="1:14" ht="150.5">
      <c r="A151" s="37"/>
      <c r="B151" s="88" t="s">
        <v>132</v>
      </c>
      <c r="C151" s="89" t="s">
        <v>308</v>
      </c>
      <c r="D151" s="90" t="s">
        <v>555</v>
      </c>
      <c r="E151" s="90" t="s">
        <v>48</v>
      </c>
      <c r="F151" s="40" t="s">
        <v>55</v>
      </c>
      <c r="G151" s="40" t="s">
        <v>779</v>
      </c>
      <c r="H151" s="92" t="s">
        <v>133</v>
      </c>
      <c r="I151" s="33" t="s">
        <v>230</v>
      </c>
      <c r="J151" s="91"/>
      <c r="K151" s="33" t="s">
        <v>60</v>
      </c>
      <c r="L151" s="98">
        <v>2</v>
      </c>
      <c r="M151" s="91" t="s">
        <v>392</v>
      </c>
      <c r="N151" s="100"/>
    </row>
    <row r="152" spans="1:14" ht="150.5">
      <c r="A152" s="37"/>
      <c r="B152" s="88" t="s">
        <v>132</v>
      </c>
      <c r="C152" s="89" t="s">
        <v>309</v>
      </c>
      <c r="D152" s="90" t="s">
        <v>555</v>
      </c>
      <c r="E152" s="90" t="s">
        <v>48</v>
      </c>
      <c r="F152" s="40" t="s">
        <v>56</v>
      </c>
      <c r="G152" s="40" t="s">
        <v>779</v>
      </c>
      <c r="H152" s="92" t="s">
        <v>133</v>
      </c>
      <c r="I152" s="33" t="s">
        <v>230</v>
      </c>
      <c r="J152" s="91" t="s">
        <v>548</v>
      </c>
      <c r="K152" s="33" t="s">
        <v>60</v>
      </c>
      <c r="L152" s="98">
        <v>2</v>
      </c>
      <c r="M152" s="91" t="s">
        <v>392</v>
      </c>
      <c r="N152" s="100"/>
    </row>
    <row r="153" spans="1:14" ht="75.5">
      <c r="A153" s="37"/>
      <c r="B153" s="88" t="s">
        <v>509</v>
      </c>
      <c r="C153" s="89" t="s">
        <v>310</v>
      </c>
      <c r="D153" s="90" t="s">
        <v>673</v>
      </c>
      <c r="E153" s="90" t="s">
        <v>48</v>
      </c>
      <c r="F153" s="40" t="s">
        <v>508</v>
      </c>
      <c r="G153" s="40" t="s">
        <v>507</v>
      </c>
      <c r="H153" s="40" t="s">
        <v>370</v>
      </c>
      <c r="I153" s="33" t="s">
        <v>37</v>
      </c>
      <c r="J153" s="91"/>
      <c r="K153" s="33"/>
      <c r="L153" s="98">
        <v>2</v>
      </c>
      <c r="M153" s="91"/>
      <c r="N153" s="100"/>
    </row>
    <row r="154" spans="1:14" ht="225.5">
      <c r="A154" s="37"/>
      <c r="B154" s="88" t="s">
        <v>24</v>
      </c>
      <c r="C154" s="89" t="s">
        <v>311</v>
      </c>
      <c r="D154" s="90" t="s">
        <v>555</v>
      </c>
      <c r="E154" s="90" t="s">
        <v>248</v>
      </c>
      <c r="F154" s="40" t="s">
        <v>29</v>
      </c>
      <c r="G154" s="40" t="s">
        <v>510</v>
      </c>
      <c r="H154" s="40" t="s">
        <v>511</v>
      </c>
      <c r="I154" s="33" t="s">
        <v>37</v>
      </c>
      <c r="J154" s="91"/>
      <c r="K154" s="33"/>
      <c r="L154" s="98">
        <v>2</v>
      </c>
      <c r="M154" s="91"/>
      <c r="N154" s="100"/>
    </row>
    <row r="155" spans="1:14" ht="300.5">
      <c r="A155" s="37"/>
      <c r="B155" s="88"/>
      <c r="C155" s="89" t="s">
        <v>672</v>
      </c>
      <c r="D155" s="90" t="s">
        <v>555</v>
      </c>
      <c r="E155" s="90" t="s">
        <v>232</v>
      </c>
      <c r="F155" s="40" t="s">
        <v>218</v>
      </c>
      <c r="G155" s="40" t="s">
        <v>505</v>
      </c>
      <c r="H155" s="40" t="s">
        <v>506</v>
      </c>
      <c r="I155" s="33" t="s">
        <v>37</v>
      </c>
      <c r="J155" s="91" t="s">
        <v>233</v>
      </c>
      <c r="K155" s="33"/>
      <c r="L155" s="98">
        <v>2</v>
      </c>
      <c r="M155" s="91"/>
      <c r="N155" s="100"/>
    </row>
    <row r="156" spans="1:14" ht="200.5">
      <c r="A156" s="37"/>
      <c r="B156" s="88" t="s">
        <v>24</v>
      </c>
      <c r="C156" s="89" t="s">
        <v>312</v>
      </c>
      <c r="D156" s="90" t="s">
        <v>555</v>
      </c>
      <c r="E156" s="90" t="s">
        <v>48</v>
      </c>
      <c r="F156" s="40" t="s">
        <v>30</v>
      </c>
      <c r="G156" s="40" t="s">
        <v>340</v>
      </c>
      <c r="H156" s="40" t="s">
        <v>341</v>
      </c>
      <c r="I156" s="33" t="s">
        <v>62</v>
      </c>
      <c r="J156" s="91" t="s">
        <v>231</v>
      </c>
      <c r="K156" s="33"/>
      <c r="L156" s="98">
        <v>2</v>
      </c>
      <c r="M156" s="91" t="s">
        <v>396</v>
      </c>
      <c r="N156" s="100"/>
    </row>
    <row r="157" spans="1:14" ht="63">
      <c r="A157" s="37"/>
      <c r="B157" s="88" t="s">
        <v>24</v>
      </c>
      <c r="C157" s="89" t="s">
        <v>313</v>
      </c>
      <c r="D157" s="90" t="s">
        <v>674</v>
      </c>
      <c r="E157" s="90" t="s">
        <v>48</v>
      </c>
      <c r="F157" s="40" t="s">
        <v>31</v>
      </c>
      <c r="G157" s="40" t="s">
        <v>342</v>
      </c>
      <c r="H157" s="40" t="s">
        <v>345</v>
      </c>
      <c r="I157" s="33" t="s">
        <v>62</v>
      </c>
      <c r="J157" s="91"/>
      <c r="K157" s="33"/>
      <c r="L157" s="98">
        <v>2</v>
      </c>
      <c r="M157" s="91" t="s">
        <v>396</v>
      </c>
      <c r="N157" s="100"/>
    </row>
    <row r="158" spans="1:14" ht="225.5">
      <c r="A158" s="37"/>
      <c r="B158" s="56"/>
      <c r="C158" s="68" t="s">
        <v>315</v>
      </c>
      <c r="D158" s="58" t="s">
        <v>5</v>
      </c>
      <c r="E158" s="58" t="s">
        <v>5</v>
      </c>
      <c r="F158" s="22" t="s">
        <v>470</v>
      </c>
      <c r="G158" s="22" t="s">
        <v>468</v>
      </c>
      <c r="H158" s="22" t="s">
        <v>469</v>
      </c>
      <c r="I158" s="21"/>
      <c r="J158" s="22" t="s">
        <v>8</v>
      </c>
      <c r="K158" s="21"/>
      <c r="L158" s="21">
        <v>2</v>
      </c>
      <c r="M158" s="22"/>
      <c r="N158" s="100" t="s">
        <v>807</v>
      </c>
    </row>
    <row r="159" spans="1:14" ht="63">
      <c r="A159" s="37"/>
      <c r="B159" s="56" t="s">
        <v>135</v>
      </c>
      <c r="C159" s="68" t="s">
        <v>314</v>
      </c>
      <c r="D159" s="58" t="s">
        <v>5</v>
      </c>
      <c r="E159" s="58" t="s">
        <v>5</v>
      </c>
      <c r="F159" s="22" t="s">
        <v>661</v>
      </c>
      <c r="G159" s="22" t="s">
        <v>170</v>
      </c>
      <c r="H159" s="22" t="s">
        <v>171</v>
      </c>
      <c r="I159" s="26" t="s">
        <v>38</v>
      </c>
      <c r="J159" s="22"/>
      <c r="K159" s="21" t="s">
        <v>60</v>
      </c>
      <c r="L159" s="21">
        <v>2</v>
      </c>
      <c r="M159" s="22"/>
      <c r="N159" s="100" t="s">
        <v>807</v>
      </c>
    </row>
    <row r="160" spans="1:14" ht="175.5">
      <c r="A160" s="37"/>
      <c r="B160" s="56" t="s">
        <v>134</v>
      </c>
      <c r="C160" s="68" t="s">
        <v>316</v>
      </c>
      <c r="D160" s="58" t="s">
        <v>5</v>
      </c>
      <c r="E160" s="58" t="s">
        <v>5</v>
      </c>
      <c r="F160" s="22" t="s">
        <v>662</v>
      </c>
      <c r="G160" s="22" t="s">
        <v>371</v>
      </c>
      <c r="H160" s="22" t="s">
        <v>471</v>
      </c>
      <c r="I160" s="21" t="s">
        <v>37</v>
      </c>
      <c r="J160" s="22"/>
      <c r="K160" s="21" t="s">
        <v>60</v>
      </c>
      <c r="L160" s="21">
        <v>2</v>
      </c>
      <c r="M160" s="22"/>
      <c r="N160" s="100" t="s">
        <v>807</v>
      </c>
    </row>
    <row r="161" spans="1:14" ht="100.5">
      <c r="A161" s="37"/>
      <c r="B161" s="56" t="s">
        <v>136</v>
      </c>
      <c r="C161" s="68" t="s">
        <v>317</v>
      </c>
      <c r="D161" s="58" t="s">
        <v>5</v>
      </c>
      <c r="E161" s="58" t="s">
        <v>244</v>
      </c>
      <c r="F161" s="22" t="s">
        <v>664</v>
      </c>
      <c r="G161" s="22" t="s">
        <v>473</v>
      </c>
      <c r="H161" s="22" t="s">
        <v>474</v>
      </c>
      <c r="I161" s="21" t="s">
        <v>37</v>
      </c>
      <c r="J161" s="22" t="s">
        <v>39</v>
      </c>
      <c r="K161" s="21" t="s">
        <v>60</v>
      </c>
      <c r="L161" s="21">
        <v>2</v>
      </c>
      <c r="M161" s="22"/>
      <c r="N161" s="100" t="s">
        <v>807</v>
      </c>
    </row>
    <row r="162" spans="1:14" ht="100.5">
      <c r="A162" s="37"/>
      <c r="B162" s="56" t="s">
        <v>137</v>
      </c>
      <c r="C162" s="68" t="s">
        <v>318</v>
      </c>
      <c r="D162" s="58" t="s">
        <v>5</v>
      </c>
      <c r="E162" s="58" t="s">
        <v>380</v>
      </c>
      <c r="F162" s="22" t="s">
        <v>665</v>
      </c>
      <c r="G162" s="22" t="s">
        <v>475</v>
      </c>
      <c r="H162" s="22" t="s">
        <v>476</v>
      </c>
      <c r="I162" s="21" t="s">
        <v>37</v>
      </c>
      <c r="J162" s="22"/>
      <c r="K162" s="21" t="s">
        <v>60</v>
      </c>
      <c r="L162" s="21">
        <v>2</v>
      </c>
      <c r="M162" s="22"/>
      <c r="N162" s="100" t="s">
        <v>807</v>
      </c>
    </row>
    <row r="163" spans="1:14" ht="75.5">
      <c r="A163" s="37"/>
      <c r="B163" s="56" t="s">
        <v>138</v>
      </c>
      <c r="C163" s="68" t="s">
        <v>663</v>
      </c>
      <c r="D163" s="58" t="s">
        <v>5</v>
      </c>
      <c r="E163" s="58" t="s">
        <v>5</v>
      </c>
      <c r="F163" s="22" t="s">
        <v>472</v>
      </c>
      <c r="G163" s="22" t="s">
        <v>172</v>
      </c>
      <c r="H163" s="22" t="s">
        <v>372</v>
      </c>
      <c r="I163" s="26" t="s">
        <v>37</v>
      </c>
      <c r="J163" s="22"/>
      <c r="K163" s="21" t="s">
        <v>60</v>
      </c>
      <c r="L163" s="21">
        <v>2</v>
      </c>
      <c r="M163" s="22"/>
      <c r="N163" s="100" t="s">
        <v>807</v>
      </c>
    </row>
    <row r="164" spans="1:14" ht="63">
      <c r="A164" s="37"/>
      <c r="B164" s="56" t="s">
        <v>24</v>
      </c>
      <c r="C164" s="68" t="s">
        <v>319</v>
      </c>
      <c r="D164" s="58" t="s">
        <v>5</v>
      </c>
      <c r="E164" s="58" t="s">
        <v>5</v>
      </c>
      <c r="F164" s="22" t="s">
        <v>767</v>
      </c>
      <c r="G164" s="22" t="s">
        <v>343</v>
      </c>
      <c r="H164" s="22" t="s">
        <v>344</v>
      </c>
      <c r="I164" s="26" t="s">
        <v>62</v>
      </c>
      <c r="J164" s="22"/>
      <c r="K164" s="21"/>
      <c r="L164" s="21">
        <v>2</v>
      </c>
      <c r="M164" s="22" t="s">
        <v>396</v>
      </c>
      <c r="N164" s="100"/>
    </row>
    <row r="165" spans="1:14" ht="25.5">
      <c r="A165" s="37"/>
      <c r="B165" s="56" t="s">
        <v>24</v>
      </c>
      <c r="C165" s="68" t="s">
        <v>320</v>
      </c>
      <c r="D165" s="58" t="s">
        <v>5</v>
      </c>
      <c r="E165" s="58" t="s">
        <v>5</v>
      </c>
      <c r="F165" s="22" t="s">
        <v>82</v>
      </c>
      <c r="G165" s="22" t="s">
        <v>346</v>
      </c>
      <c r="H165" s="22" t="s">
        <v>347</v>
      </c>
      <c r="I165" s="26" t="s">
        <v>62</v>
      </c>
      <c r="J165" s="22"/>
      <c r="K165" s="21"/>
      <c r="L165" s="21">
        <v>2</v>
      </c>
      <c r="M165" s="22" t="s">
        <v>396</v>
      </c>
      <c r="N165" s="100"/>
    </row>
    <row r="166" spans="1:14" ht="25.5">
      <c r="A166" s="37"/>
      <c r="B166" s="56" t="s">
        <v>24</v>
      </c>
      <c r="C166" s="68" t="s">
        <v>321</v>
      </c>
      <c r="D166" s="58" t="s">
        <v>5</v>
      </c>
      <c r="E166" s="58" t="s">
        <v>5</v>
      </c>
      <c r="F166" s="22" t="s">
        <v>704</v>
      </c>
      <c r="G166" s="22" t="s">
        <v>348</v>
      </c>
      <c r="H166" s="22" t="s">
        <v>349</v>
      </c>
      <c r="I166" s="26" t="s">
        <v>63</v>
      </c>
      <c r="J166" s="22"/>
      <c r="K166" s="21"/>
      <c r="L166" s="21">
        <v>2</v>
      </c>
      <c r="M166" s="22" t="s">
        <v>396</v>
      </c>
      <c r="N166" s="100"/>
    </row>
    <row r="167" spans="1:14" ht="18.75" customHeight="1">
      <c r="A167" s="37"/>
      <c r="B167" s="93" t="s">
        <v>24</v>
      </c>
      <c r="C167" s="94" t="s">
        <v>322</v>
      </c>
      <c r="D167" s="95" t="s">
        <v>5</v>
      </c>
      <c r="E167" s="95" t="s">
        <v>5</v>
      </c>
      <c r="F167" s="96" t="s">
        <v>34</v>
      </c>
      <c r="G167" s="96" t="s">
        <v>350</v>
      </c>
      <c r="H167" s="96" t="s">
        <v>349</v>
      </c>
      <c r="I167" s="99" t="s">
        <v>62</v>
      </c>
      <c r="J167" s="96"/>
      <c r="K167" s="21"/>
      <c r="L167" s="21">
        <v>2</v>
      </c>
      <c r="M167" s="22"/>
      <c r="N167" s="100"/>
    </row>
    <row r="168" spans="1:14">
      <c r="A168" s="37"/>
    </row>
  </sheetData>
  <autoFilter ref="A3:N167" xr:uid="{00000000-0009-0000-0000-000003000000}"/>
  <pageMargins left="0" right="0" top="0.25" bottom="0.25" header="0.05" footer="0.05"/>
  <pageSetup paperSize="8" scale="1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READ_ME</vt:lpstr>
      <vt:lpstr>1. Analytical Framework</vt:lpstr>
      <vt:lpstr>2. Intercluster_PIN_Sev</vt:lpstr>
      <vt:lpstr>3. Cluster_PIN_Sev</vt:lpstr>
      <vt:lpstr>3.1. CCCM</vt:lpstr>
      <vt:lpstr>3.2. Education</vt:lpstr>
      <vt:lpstr>3.3. ELC</vt:lpstr>
      <vt:lpstr>3.4. FSC</vt:lpstr>
      <vt:lpstr>3.5. Health</vt:lpstr>
      <vt:lpstr>3.6. Protection </vt:lpstr>
      <vt:lpstr>3.7. SNFI</vt:lpstr>
      <vt:lpstr>3.8. WASH</vt:lpstr>
      <vt:lpstr>4. REF_2021 JIAF IRT</vt:lpstr>
      <vt:lpstr>5. REF_JIAF_Severity</vt:lpstr>
      <vt:lpstr>6. REF_2020HNO_Intersector</vt:lpstr>
      <vt:lpstr>7. REF_2020HNO_Cluster-indic </vt:lpstr>
      <vt:lpstr>Dropdown</vt:lpstr>
      <vt:lpstr>8. 2019_Pool of Indicators </vt:lpstr>
    </vt:vector>
  </TitlesOfParts>
  <Company>UNOG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Lazau-Ratz</dc:creator>
  <cp:lastModifiedBy>Michael</cp:lastModifiedBy>
  <cp:lastPrinted>2019-05-23T10:48:37Z</cp:lastPrinted>
  <dcterms:created xsi:type="dcterms:W3CDTF">2018-06-03T05:56:39Z</dcterms:created>
  <dcterms:modified xsi:type="dcterms:W3CDTF">2020-09-04T09:31:08Z</dcterms:modified>
</cp:coreProperties>
</file>