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Board" sheetId="1" r:id="rId1"/>
  </sheets>
  <definedNames>
    <definedName name="arrow_part_data">'MainBoard'!$J$5:$N$34</definedName>
    <definedName name="BoardQty">'MainBoard'!$I$1</definedName>
    <definedName name="digikey_part_data">'MainBoard'!$O$5:$S$34</definedName>
    <definedName name="farnell_part_data">'MainBoard'!$T$5:$X$34</definedName>
    <definedName name="global_part_data">'MainBoard'!$A$5:$I$34</definedName>
    <definedName name="lcsc_part_data">'MainBoard'!$Y$5:$AC$34</definedName>
    <definedName name="mouser_part_data">'MainBoard'!$AD$5:$AH$34</definedName>
    <definedName name="newark_part_data">'MainBoard'!$AI$5:$AM$34</definedName>
    <definedName name="PURCHASE_DESCRIPTION">'MainBoard'!$I$37</definedName>
    <definedName name="rs_part_data">'MainBoard'!$AN$5:$AR$34</definedName>
    <definedName name="tme_part_data">'MainBoard'!$AS$5:$AW$34</definedName>
    <definedName name="TotalCost">'MainBoard'!$I$3</definedName>
    <definedName name="USD_GBP">'MainBoard'!$C$37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C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H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 50   $0.02      $0.82
   100   $0.01      $1.35
   500   $0.01      $4.81
  1000   $0.01      $7.56
  2500   $0.01     $17.18
  5000   $0.01     $31.60
 10000   $0.01     $57.70</t>
        </r>
      </text>
    </comment>
    <comment ref="AF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$0.23
    50   $0.02      $1.15
   100   $0.02      $1.60
  1000   $0.01      $9.00
 10000   $0.01     $60.00</t>
        </r>
      </text>
    </comment>
    <comment ref="Q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$0.77
  4000   $0.08    $306.24</t>
        </r>
      </text>
    </comment>
    <comment ref="T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£0.69      £6.88
   100   £0.43     £43.00
   500   £0.31    £156.50
  1000   £0.26    £265.00
  2000   £0.26    £520.00
  4000   £0.26  £1,060.00
 20000   £0.26  £5,200.00</t>
        </r>
      </text>
    </comment>
    <comment ref="AF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$0.52      $0.52
    10   $0.37      $3.66
    50   $0.37     $18.30
   100   $0.22     $22.00
  1000   $0.15    $152.00
 10000   $0.15  $1,470.00</t>
        </r>
      </text>
    </comment>
    <comment ref="AI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25   $0.44     $10.98
    50   $0.35     $17.60
   100   $0.26     $26.40
   250   $0.23     $57.75
  4000   $0.18    $704.00</t>
        </r>
      </text>
    </comment>
    <comment ref="O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$1.19      $1.19
    10   $0.94      $9.39
    50   $0.81     $40.71
   100   $0.70     $70.46
   500   $0.53    $266.17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$1.15      $1.15
    10   $0.85      $8.53
    50   $0.85     $42.65
   100   $0.70     $70.50
  1000   $0.60    $605.00
 10000   $0.47  $4,700.00</t>
        </r>
      </text>
    </comment>
    <comment ref="AI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$0.59      $0.59
   500   $0.59    $295.50
  1000   $0.56    $559.00</t>
        </r>
      </text>
    </comment>
    <comment ref="Q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$0.11
    50   $0.01      $0.31
   100   $0.01      $0.51
   500   $0.00      $1.81
  1000   $0.00      $2.85
  2500   $0.00      $6.48
  5000   $0.00     $11.90
 15000   $0.00     $31.05</t>
        </r>
      </text>
    </comment>
    <comment ref="V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£0.06
   100   £0.00      £0.50
   150   £0.00      £0.75
   500   £0.00      £1.45
  2500   £0.00      £5.50
  7500   £0.00     £15.75
 15000   £0.00     £24.00
 75000   £0.00    £112.50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$0.11
    50   $0.01      $0.55
   100   $0.01      $0.60
  1000   $0.00      $3.00
 10000   $0.00     $30.00</t>
        </r>
      </text>
    </comment>
    <comment ref="AK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$0.16
    25   $0.01      $0.32
    50   $0.01      $0.50
   100   $0.01      $0.70
   250   $0.01      $1.50
   500   $0.00      $2.50
  1000   $0.00      $4.00
 15000   $0.00     $30.00</t>
        </r>
      </text>
    </comment>
    <comment ref="AP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£30.00</t>
        </r>
      </text>
    </comment>
    <comment ref="Q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$0.22
   100   $0.02      $1.99
   500   $0.02      $8.82
 10000   $0.01    $145.70</t>
        </r>
      </text>
    </comment>
    <comment ref="T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£0.37
   100   £0.02      £2.41
   150   £0.02      £3.61
   500   £0.02      £8.90
  2500   £0.02     £38.75
  5000   £0.02     £76.00
 10000   £0.01    £118.00
 50000   £0.01    £495.00</t>
        </r>
      </text>
    </comment>
    <comment ref="AD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$0.23
    50   $0.02      $1.15
   100   $0.02      $2.10
  1000   $0.02     $18.00
 10000   $0.02    $160.00</t>
        </r>
      </text>
    </comment>
    <comment ref="AI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$0.30
    25   $0.03      $0.73
    50   $0.03      $1.35
   100   $0.03      $2.60</t>
        </r>
      </text>
    </comment>
    <comment ref="Q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$0.35      $3.46
    50   $0.26     $13.09
   100   $0.23     $22.79
   500   $0.17     $84.42
  1000   $0.14    $143.52
  2000   $0.13    $267.68</t>
        </r>
      </text>
    </comment>
    <comment ref="AA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$0.63      $3.15
    50   $0.47     $23.55
   150   $0.44     $66.27
   500   $0.41    $206.26
  2500   $0.40    $998.72
  5000   $0.39  $1,965.30</t>
        </r>
      </text>
    </comment>
    <comment ref="AF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$0.29      $2.89
    50   $0.29     $14.45
   100   $0.23     $23.10
  1000   $0.16    $162.00
 10000   $0.16  $1,570.00</t>
        </r>
      </text>
    </comment>
    <comment ref="AU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£0.20      £2.04
   100   £0.14     £14.35
  1000   £0.12    £117.96
  2000   £0.10    £205.12
 10000   £0.10    £991.40</t>
        </r>
      </text>
    </comment>
    <comment ref="Q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$0.32      $3.15
    50   $0.22     $11.03
   100   $0.19     $18.91
   500   $0.14     $70.90
  1000   $0.12    $119.74
  2500   $0.11    $283.60
  5000   $0.11    $535.65
 15000   $0.10  $1,465.20</t>
        </r>
      </text>
    </comment>
    <comment ref="AF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$0.35      $3.46
    50   $0.35     $17.30
   100   $0.21     $20.80
  1000   $0.13    $132.00
 10000   $0.09    $940.00</t>
        </r>
      </text>
    </comment>
    <comment ref="AI1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$0.11  $1,695.00</t>
        </r>
      </text>
    </comment>
    <comment ref="Q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$0.84
   100   $0.05      $4.55
   500   $0.03     $13.99
  1000   $0.02     $19.08
  2000   $0.02     $32.44
  5000   $0.01     $73.15
 10000   $0.01    $127.20
 50000   $0.01    $525.00</t>
        </r>
      </text>
    </comment>
    <comment ref="V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£0.12      £0.61
    10   £0.08      £0.84
   100   £0.03      £3.11
   500   £0.02     £11.60
  1000   £0.02     £15.20</t>
        </r>
      </text>
    </comment>
    <comment ref="AF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$0.09      $0.87
    50   $0.09      $4.35
   100   $0.05      $4.80
  1000   $0.02     $20.00
 10000   $0.01    $130.00</t>
        </r>
      </text>
    </comment>
    <comment ref="AK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 5   $0.12      $0.59
    10   $0.07      $0.69
    25   $0.03      $0.73
    50   $0.03      $1.45
   100   $0.04      $3.70
   500   $0.03     $15.50
  1000   $0.02     $21.00
  2500   $0.02     $42.50</t>
        </r>
      </text>
    </comment>
    <comment ref="AU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30   £0.02      £0.73
   100   £0.01      £1.19
   250   £0.01      £2.64
  1000   £0.01      £8.97
  5000   £0.01     £40.40</t>
        </r>
      </text>
    </comment>
    <comment ref="Q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$0.33      $3.34
    25   $0.31      $7.63
   100   $0.23     $22.73
   250   $0.21     $51.49
   500   $0.17     $85.22
  1000   $0.13    $127.84
  2500   $0.12    $293.12</t>
        </r>
      </text>
    </comment>
    <comment ref="V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£0.38      £0.38
    10   £0.27      £2.72
   100   £0.25     £24.60
   500   £0.22    £110.00
  1000   £0.19    £193.00</t>
        </r>
      </text>
    </comment>
    <comment ref="AF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$0.41      $0.41
    10   $0.33      $3.34
    50   $0.33     $16.70
   100   $0.33     $33.40
  1000   $0.33    $334.00
 10000   $0.33  $3,340.00</t>
        </r>
      </text>
    </comment>
    <comment ref="AK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$0.37      $3.67
   100   $0.30     $29.60
   500   $0.28    $138.00
  1000   $0.26    $260.00
  2500   $0.25    $615.00</t>
        </r>
      </text>
    </comment>
    <comment ref="AU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3   £0.21      £0.62
    25   £0.16      £4.04
    75   £0.14     £10.39
   300   £0.11     £32.38</t>
        </r>
      </text>
    </comment>
    <comment ref="Q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100   $0.01      $0.75
  1000   $0.00      $3.38
  2500   $0.00      $7.35
  5000   $0.00     $12.15
 10000   $0.00     $21.10</t>
        </r>
      </text>
    </comment>
    <comment ref="V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£0.14
   100   £0.01      £0.57
   150   £0.01      £0.86
   500   £0.00      £1.40
  2500   £0.00      £5.50
  5000   £0.00      £9.00
 10000   £0.00     £16.00
 50000   £0.00     £70.00</t>
        </r>
      </text>
    </comment>
    <comment ref="AF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$0.01      $0.80
  1000   $0.00      $4.00
 10000   $0.00     $20.00</t>
        </r>
      </text>
    </comment>
    <comment ref="AK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$0.01      $0.06
    25   $0.00      $0.12
    50   $0.00      $0.25
   100   $0.00      $0.40
 20000   $0.00     $40.00</t>
        </r>
      </text>
    </comment>
    <comment ref="Q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$0.33      $3.27
   100   $0.14     $13.74
  1000   $0.08     $75.81
  4000   $0.07    $284.28</t>
        </r>
      </text>
    </comment>
    <comment ref="V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£0.33      £3.29
   100   £0.13     £12.80
   150   £0.13     £19.20
   500   £0.11     £56.00
  1000   £0.10     £95.80
  2000   £0.09    £183.20
  4000   £0.09    £364.00
 20000   £0.09  £1,806.00</t>
        </r>
      </text>
    </comment>
    <comment ref="AD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$0.33      $3.27
    50   $0.33     $16.35
   100   $0.14     $14.20
  1000   $0.08     $76.00
 10000   $0.07    $700.00</t>
        </r>
      </text>
    </comment>
    <comment ref="AK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$0.05      $0.05
    10   $0.32      $3.21
    25   $0.05      $1.20
    50   $0.05      $2.40
   100   $0.05      $4.80
   250   $0.05     $12.00
   500   $0.05     $24.00
  1000   $0.05     $48.00
  4000   $0.08    $304.00
  8000   $0.07    $576.00
 16000   $0.07  $1,136.00
 24000   $0.07  $1,656.00</t>
        </r>
      </text>
    </comment>
    <comment ref="Q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$0.27      $2.70
   100   $0.11     $10.55
  1000   $0.04     $44.17
  2500   $0.04    $101.22
  5000   $0.04    $184.05
 20000   $0.03    $687.20</t>
        </r>
      </text>
    </comment>
    <comment ref="T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£0.09      £0.89
   150   £0.09     £13.29
   250   £0.06     £14.88
  1000   £0.04     £41.00
  5000   £0.03    £149.00
 10000   £0.03    £264.00
 20000   £0.03    £506.00
100000   £0.02  £2,410.00</t>
        </r>
      </text>
    </comment>
    <comment ref="AF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$0.32      $0.32
    10   $0.27      $2.70
    50   $0.27     $13.50
   100   $0.11     $10.60
  1000   $0.04     $45.00
 10000   $0.04    $370.00</t>
        </r>
      </text>
    </comment>
    <comment ref="AI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$0.20      $1.95
    25   $0.15      $3.80
    50   $0.11      $5.50
   100   $0.07      $6.80</t>
        </r>
      </text>
    </comment>
    <comment ref="O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Q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1000   $0.07     $66.30
  5000   $0.06    $277.90
 10000   $0.05    $530.40</t>
        </r>
      </text>
    </comment>
    <comment ref="Q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$0.08      $0.75
   100   $0.03      $2.88
  1000   $0.01     $12.65
  2500   $0.01     $27.30
  5000   $0.01     $48.90
 10000   $0.01     $87.70</t>
        </r>
      </text>
    </comment>
    <comment ref="T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10000   £0.01     £72.00</t>
        </r>
      </text>
    </comment>
    <comment ref="AI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$0.02    $210.00
 20000   $0.01    $220.00</t>
        </r>
      </text>
    </comment>
    <comment ref="Q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$0.41
    25   $0.04      $0.96
    50   $0.03      $1.42
   100   $0.02      $2.44
   250   $0.02      $5.89
   500   $0.02     $10.16
  1000   $0.02     $18.29
  2500   $0.02     $40.65
  5000   $0.02     $77.25
 10000   $0.01    $146.40
 15000   $0.01    $213.45
 25000   $0.01    $325.25
 50000   $0.01    $589.50</t>
        </r>
      </text>
    </comment>
    <comment ref="T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£0.03      £0.27
   100   £0.02      £1.94
   150   £0.02      £2.91
   500   £0.02      £8.10
  1000   £0.01     £13.50
  2500   £0.01     £28.25
  5000   £0.01     £50.00
 25000   £0.01    £195.00</t>
        </r>
      </text>
    </comment>
    <comment ref="AF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$0.17      $0.17
    10   $0.12      $1.15
    50   $0.12      $5.75
   100   $0.04      $4.50
  1000   $0.02     $20.00
 10000   $0.01    $120.00</t>
        </r>
      </text>
    </comment>
    <comment ref="AI3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5000   $0.01     $50.00
 50000   $0.01    $450.00
100000   $0.01    $800.00
250000   $0.01  $2,000.00</t>
        </r>
      </text>
    </comment>
    <comment ref="Q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100   $0.01      $1.46
  1000   $0.01      $6.55
  2500   $0.01     $14.22
  5000   $0.00     $23.50</t>
        </r>
      </text>
    </comment>
    <comment ref="Q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$7.41      $7.41
    10   $6.67     $66.71
    25   $6.34    $158.39
    50   $6.07    $303.37
   100   $5.87    $586.63
   250   $5.56  $1,391.16
   500   $5.10  $2,547.66
  1000   $4.86  $4,860.68</t>
        </r>
      </text>
    </comment>
    <comment ref="T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£5.62      £5.62
     5   £5.35     £26.75
    10   £5.06     £50.60
    25   £4.81    £120.25
    50   £4.61    £230.50
   100   £4.46    £446.00</t>
        </r>
      </text>
    </comment>
    <comment ref="AD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F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$7.28      $7.28
    10   $6.63     $66.30
    50   $6.13    $306.50
   100   $5.97    $597.00
  1000   $4.81  $4,810.00
 10000   $4.81 $48,100.00</t>
        </r>
      </text>
    </comment>
    <comment ref="AI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K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$6.79      $6.79
     5   $6.46     $32.30
    10   $6.12     $61.20
    25   $5.81    $145.25
    50   $5.57    $278.50
   100   $5.40    $540.00</t>
        </r>
      </text>
    </comment>
    <comment ref="H36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Z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E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O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T36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37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Z37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<sst xmlns="http://schemas.openxmlformats.org/spreadsheetml/2006/main" count="323" uniqueCount="184">
  <si>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</si>
  <si>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</si>
  <si>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</si>
  <si>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</si>
  <si>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</si>
  <si>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</si>
  <si>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</si>
  <si>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</si>
  <si>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</si>
  <si>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</si>
  <si>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</t>
  </si>
  <si>
    <t>20n</t>
  </si>
  <si>
    <t>C_0805_2012Metric_Pad1.18x1.45mm_HandSolder</t>
  </si>
  <si>
    <t>399-C0402C224M8RACTUTR-ND</t>
  </si>
  <si>
    <t>C10</t>
  </si>
  <si>
    <t>0u1</t>
  </si>
  <si>
    <t>CL03A104MP3NNNC</t>
  </si>
  <si>
    <t>C11</t>
  </si>
  <si>
    <t>10u</t>
  </si>
  <si>
    <t>0603ZD106KAT2A</t>
  </si>
  <si>
    <t>C12</t>
  </si>
  <si>
    <t>100u</t>
  </si>
  <si>
    <t>LMK325ABJ107MM-T</t>
  </si>
  <si>
    <t>C2,C8</t>
  </si>
  <si>
    <t>1u</t>
  </si>
  <si>
    <t>1276-1943-2-ND</t>
  </si>
  <si>
    <t>C3,C4</t>
  </si>
  <si>
    <t>50p</t>
  </si>
  <si>
    <t>GRM0335C1E470JA01D</t>
  </si>
  <si>
    <t>C5</t>
  </si>
  <si>
    <t>0u22</t>
  </si>
  <si>
    <t>885012105011</t>
  </si>
  <si>
    <t>C7</t>
  </si>
  <si>
    <t>47u</t>
  </si>
  <si>
    <t>CL31A476MPHNNNE</t>
  </si>
  <si>
    <t>C9</t>
  </si>
  <si>
    <t>220n</t>
  </si>
  <si>
    <t>12065C204KAT4A</t>
  </si>
  <si>
    <t>D1,D2,D5</t>
  </si>
  <si>
    <t>1N914</t>
  </si>
  <si>
    <t>D_DO-35_SOD27_P2.54mm_Vertical_AnodeUp</t>
  </si>
  <si>
    <t>D4</t>
  </si>
  <si>
    <t>QBL8XX60D</t>
  </si>
  <si>
    <t>LED_5mm_Radial</t>
  </si>
  <si>
    <t>IC1</t>
  </si>
  <si>
    <t>RC4558</t>
  </si>
  <si>
    <t>Texas_R-PDSO-G8_EP2.95x4.9mm_Mask2.4x3.1mm</t>
  </si>
  <si>
    <t>RC4558D</t>
  </si>
  <si>
    <t>J1,J2</t>
  </si>
  <si>
    <t>ACJM-HHDR</t>
  </si>
  <si>
    <t>J3</t>
  </si>
  <si>
    <t>PJ-102A</t>
  </si>
  <si>
    <t>CONN PWR JACK 2X5.5MM SOLDER</t>
  </si>
  <si>
    <t>Barrel_Jack_5.5mmODx2.1mmID_PJ-102A</t>
  </si>
  <si>
    <t>CUI Inc.</t>
  </si>
  <si>
    <t>CP-102A-ND</t>
  </si>
  <si>
    <t>Q1,Q2</t>
  </si>
  <si>
    <t>2N4401BU</t>
  </si>
  <si>
    <t>TRANS NPN 40V 0.6A TO-92</t>
  </si>
  <si>
    <t>TO-92-3</t>
  </si>
  <si>
    <t>ON Semiconductor</t>
  </si>
  <si>
    <t>2N4401-ND</t>
  </si>
  <si>
    <t>R1,R8,R17,R18,R23</t>
  </si>
  <si>
    <t>1k</t>
  </si>
  <si>
    <t>R_0805_2012Metric_Pad1.20x1.40mm_HandSolder</t>
  </si>
  <si>
    <t>CRGCQ0402J1K0</t>
  </si>
  <si>
    <t>R11</t>
  </si>
  <si>
    <t>220</t>
  </si>
  <si>
    <t>ERJ-1TYJ221U</t>
  </si>
  <si>
    <t>R15</t>
  </si>
  <si>
    <t>100</t>
  </si>
  <si>
    <t>RC0100FR-07100RL</t>
  </si>
  <si>
    <t>R19</t>
  </si>
  <si>
    <t>DrivePot</t>
  </si>
  <si>
    <t>PinHeader_1x03_P2.54mm_Vertical</t>
  </si>
  <si>
    <t>R2,R12</t>
  </si>
  <si>
    <t>501k</t>
  </si>
  <si>
    <t>RN73R2ATTD5053F100</t>
  </si>
  <si>
    <t>R20</t>
  </si>
  <si>
    <t>TonePot</t>
  </si>
  <si>
    <t>R21</t>
  </si>
  <si>
    <t>VolumePot</t>
  </si>
  <si>
    <t>R22</t>
  </si>
  <si>
    <t>1M5</t>
  </si>
  <si>
    <t>ERJ-U02J155X</t>
  </si>
  <si>
    <t>R3,R5,R9,R10,R13,R14,R16</t>
  </si>
  <si>
    <t>10k</t>
  </si>
  <si>
    <t>RG20N470KWTR-ND</t>
  </si>
  <si>
    <t>R6</t>
  </si>
  <si>
    <t>4k7</t>
  </si>
  <si>
    <t>CRGH0805F4K7</t>
  </si>
  <si>
    <t>R7</t>
  </si>
  <si>
    <t>51k</t>
  </si>
  <si>
    <t>RMCF1206FT51K0</t>
  </si>
  <si>
    <t>SW1</t>
  </si>
  <si>
    <t>FS57003PLT2B2M2QE</t>
  </si>
  <si>
    <t>SW_PUSH_E-Switch_FS57003PLT_3PDT</t>
  </si>
  <si>
    <t>V1,V2</t>
  </si>
  <si>
    <t>VSOURCE</t>
  </si>
  <si>
    <t>Total Purchase:</t>
  </si>
  <si>
    <t>Purchase description:</t>
  </si>
  <si>
    <t>Used currency rates:</t>
  </si>
  <si>
    <t>USD($)/GBP(£):</t>
  </si>
  <si>
    <t>Prj:</t>
  </si>
  <si>
    <t>MainBoard.xml</t>
  </si>
  <si>
    <t>Co.:</t>
  </si>
  <si>
    <t>Prj date:</t>
  </si>
  <si>
    <t>Thu 05 Aug 2021 10:51:37 PM PDT</t>
  </si>
  <si>
    <t>Board Qty:</t>
  </si>
  <si>
    <t>Total Cost:</t>
  </si>
  <si>
    <t>Unit Cost:</t>
  </si>
  <si>
    <t>$ date:</t>
  </si>
  <si>
    <t>2021-08-05 22:52:49</t>
  </si>
  <si>
    <t>Arrow</t>
  </si>
  <si>
    <t>Avail</t>
  </si>
  <si>
    <t>Purch</t>
  </si>
  <si>
    <t>Cat#</t>
  </si>
  <si>
    <t>Digi-Key</t>
  </si>
  <si>
    <t>1276-1321-1-ND</t>
  </si>
  <si>
    <t>478-10766-1-ND</t>
  </si>
  <si>
    <t>587-6152-1-ND</t>
  </si>
  <si>
    <t>NonStk</t>
  </si>
  <si>
    <t>490-1256-1-ND</t>
  </si>
  <si>
    <t>732-7488-1-ND</t>
  </si>
  <si>
    <t>1276-3063-1-ND</t>
  </si>
  <si>
    <t>478-12065C204KAT4ACT-ND</t>
  </si>
  <si>
    <t>1N914FS-ND</t>
  </si>
  <si>
    <t>296-9650-5-ND</t>
  </si>
  <si>
    <t>A130048CT-ND</t>
  </si>
  <si>
    <t>PT220XCT-ND</t>
  </si>
  <si>
    <t>311-100DGCT-ND</t>
  </si>
  <si>
    <t>2019-RN73R2ATTD5053F100CT-ND</t>
  </si>
  <si>
    <t>10-ERJ-U02J155XCT-ND</t>
  </si>
  <si>
    <t>A129546CT-ND</t>
  </si>
  <si>
    <t>RMCF1206FT51K0CT-ND</t>
  </si>
  <si>
    <t>EG5492-ND</t>
  </si>
  <si>
    <t>Farnell</t>
  </si>
  <si>
    <t>3340860</t>
  </si>
  <si>
    <t>2434638</t>
  </si>
  <si>
    <t>2533929</t>
  </si>
  <si>
    <t>9843817</t>
  </si>
  <si>
    <t>3117712</t>
  </si>
  <si>
    <t>2861821</t>
  </si>
  <si>
    <t>2324195</t>
  </si>
  <si>
    <t>3495400</t>
  </si>
  <si>
    <t>3314778</t>
  </si>
  <si>
    <t>2332080</t>
  </si>
  <si>
    <t>2771200</t>
  </si>
  <si>
    <t>LCSC</t>
  </si>
  <si>
    <t>C96123</t>
  </si>
  <si>
    <t>Mouser</t>
  </si>
  <si>
    <t>187CL03A104MP3NNNC</t>
  </si>
  <si>
    <t>5810603ZD106KAT2A</t>
  </si>
  <si>
    <t>963LMK325ABJ107MMT</t>
  </si>
  <si>
    <t>81GRM0335C1E470JA1D</t>
  </si>
  <si>
    <t>710885012105011</t>
  </si>
  <si>
    <t>187CL31A476MPHNNNE</t>
  </si>
  <si>
    <t>58112065C204KAT4A</t>
  </si>
  <si>
    <t>5121N914</t>
  </si>
  <si>
    <t>595RC4558D</t>
  </si>
  <si>
    <t>279CRGCQ0402J1K0</t>
  </si>
  <si>
    <t>667ERJ1TYJ221U</t>
  </si>
  <si>
    <t>603RC0100FR07100RL</t>
  </si>
  <si>
    <t>279CRGH0805F4K7</t>
  </si>
  <si>
    <t>612FS573PLT2B2M2QE</t>
  </si>
  <si>
    <t>Newark</t>
  </si>
  <si>
    <t>50AH3279</t>
  </si>
  <si>
    <t>23AC6249</t>
  </si>
  <si>
    <t>80X8554</t>
  </si>
  <si>
    <t>04AJ6147</t>
  </si>
  <si>
    <t>55J9626</t>
  </si>
  <si>
    <t>58K9617</t>
  </si>
  <si>
    <t>26AJ8859</t>
  </si>
  <si>
    <t>61AC6393</t>
  </si>
  <si>
    <t>53W4065</t>
  </si>
  <si>
    <t>82AH7756</t>
  </si>
  <si>
    <t>51W3518</t>
  </si>
  <si>
    <t>37AH9917</t>
  </si>
  <si>
    <t>18AC1549</t>
  </si>
  <si>
    <t>RS Components</t>
  </si>
  <si>
    <t>1138721</t>
  </si>
  <si>
    <t>TME</t>
  </si>
  <si>
    <t>1N914ONS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</si>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</sst>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msungsem.com/kr/support/product-search/mlcc/CL03A104MP3NNNC.jsp" TargetMode="External"/><Relationship Id="rId2" Type="http://schemas.openxmlformats.org/officeDocument/2006/relationships/hyperlink" Target="https://octopart.com/click/track?ai=8078&amp;sig=0522ecc&amp;sid=459&amp;ppid=21548412&amp;vpid=72521912&amp;ct=offers" TargetMode="External"/><Relationship Id="rId3" Type="http://schemas.openxmlformats.org/officeDocument/2006/relationships/hyperlink" Target="https://octopart.com/click/track?ai=8078&amp;sig=0df3b77&amp;sid=2401&amp;ppid=21548412&amp;vpid=659500580&amp;ct=offers" TargetMode="External"/><Relationship Id="rId4" Type="http://schemas.openxmlformats.org/officeDocument/2006/relationships/hyperlink" Target="https://datasheets.avx.com/cx5r.pdf" TargetMode="External"/><Relationship Id="rId5" Type="http://schemas.openxmlformats.org/officeDocument/2006/relationships/hyperlink" Target="https://octopart.com/click/track?ai=8078&amp;sig=08deb4e&amp;sid=459&amp;ppid=71360729&amp;vpid=440762113&amp;ct=offers" TargetMode="External"/><Relationship Id="rId6" Type="http://schemas.openxmlformats.org/officeDocument/2006/relationships/hyperlink" Target="https://octopart.com/click/track?c=1&amp;ai=8078&amp;sig=03871d0&amp;sid=819&amp;ppid=71360729&amp;vpid=667630955&amp;ct=offers" TargetMode="External"/><Relationship Id="rId7" Type="http://schemas.openxmlformats.org/officeDocument/2006/relationships/hyperlink" Target="https://octopart.com/click/track?ai=8078&amp;sig=06c8fa3&amp;sid=2401&amp;ppid=71360729&amp;vpid=423377967&amp;ct=offers" TargetMode="External"/><Relationship Id="rId8" Type="http://schemas.openxmlformats.org/officeDocument/2006/relationships/hyperlink" Target="https://octopart.com/click/track?c=1&amp;ai=8078&amp;sig=00caa4e&amp;sid=2402&amp;ppid=71360729&amp;vpid=598283113&amp;ct=offers" TargetMode="External"/><Relationship Id="rId9" Type="http://schemas.openxmlformats.org/officeDocument/2006/relationships/hyperlink" Target="https://www.yuden.co.jp/productdata/catalog/mlcc06_e.pdf" TargetMode="External"/><Relationship Id="rId10" Type="http://schemas.openxmlformats.org/officeDocument/2006/relationships/hyperlink" Target="https://octopart.com/click/track?c=1&amp;ai=8078&amp;sig=0b67670&amp;sid=459&amp;ppid=27587928&amp;vpid=476839147&amp;ct=offers" TargetMode="External"/><Relationship Id="rId11" Type="http://schemas.openxmlformats.org/officeDocument/2006/relationships/hyperlink" Target="https://octopart.com/click/track?c=1&amp;ai=8078&amp;sig=061a032&amp;sid=2401&amp;ppid=27587928&amp;vpid=252059597&amp;ct=offers" TargetMode="External"/><Relationship Id="rId12" Type="http://schemas.openxmlformats.org/officeDocument/2006/relationships/hyperlink" Target="https://octopart.com/click/track?c=1&amp;ai=8078&amp;sig=0cee483&amp;sid=2402&amp;ppid=27587928&amp;vpid=508769559&amp;ct=offers" TargetMode="External"/><Relationship Id="rId13" Type="http://schemas.openxmlformats.org/officeDocument/2006/relationships/hyperlink" Target="https://search.murata.co.jp/Ceramy/image/img/A01X/G101/ENG/GRM0335C1E470JA01-01.pdf" TargetMode="External"/><Relationship Id="rId14" Type="http://schemas.openxmlformats.org/officeDocument/2006/relationships/hyperlink" Target="https://octopart.com/click/track?ai=8078&amp;sig=0821a37&amp;sid=459&amp;ppid=22851373&amp;vpid=77975366&amp;ct=offers" TargetMode="External"/><Relationship Id="rId15" Type="http://schemas.openxmlformats.org/officeDocument/2006/relationships/hyperlink" Target="https://octopart.com/click/track?ai=8078&amp;sig=02f7bb3&amp;sid=819&amp;ppid=22851373&amp;vpid=139135842&amp;ct=offers" TargetMode="External"/><Relationship Id="rId16" Type="http://schemas.openxmlformats.org/officeDocument/2006/relationships/hyperlink" Target="https://octopart.com/click/track?ai=8078&amp;sig=0f25639&amp;sid=2401&amp;ppid=22851373&amp;vpid=82014719&amp;ct=offers" TargetMode="External"/><Relationship Id="rId17" Type="http://schemas.openxmlformats.org/officeDocument/2006/relationships/hyperlink" Target="https://octopart.com/click/track?ai=8078&amp;sig=020f5f8&amp;sid=2402&amp;ppid=22851373&amp;vpid=173672452&amp;ct=offers" TargetMode="External"/><Relationship Id="rId18" Type="http://schemas.openxmlformats.org/officeDocument/2006/relationships/hyperlink" Target="https://octopart.com/click/track?ai=8078&amp;sig=074a51d&amp;sid=10022&amp;ppid=22851373&amp;vpid=273426803&amp;ct=offers" TargetMode="External"/><Relationship Id="rId19" Type="http://schemas.openxmlformats.org/officeDocument/2006/relationships/hyperlink" Target="https://octopart.com/click/track?ai=8078&amp;sig=0c50113&amp;sid=459&amp;ppid=53703132&amp;vpid=229678670&amp;ct=offers" TargetMode="External"/><Relationship Id="rId20" Type="http://schemas.openxmlformats.org/officeDocument/2006/relationships/hyperlink" Target="https://octopart.com/click/track?c=1&amp;ai=8078&amp;sig=042e406&amp;sid=819&amp;ppid=53703132&amp;vpid=670695890&amp;ct=offers" TargetMode="External"/><Relationship Id="rId21" Type="http://schemas.openxmlformats.org/officeDocument/2006/relationships/hyperlink" Target="https://octopart.com/click/track?c=1&amp;ai=8078&amp;sig=03e94f4&amp;sid=2401&amp;ppid=53703132&amp;vpid=419809225&amp;ct=offers" TargetMode="External"/><Relationship Id="rId22" Type="http://schemas.openxmlformats.org/officeDocument/2006/relationships/hyperlink" Target="https://octopart.com/click/track?c=1&amp;ai=8078&amp;sig=038a67d&amp;sid=2402&amp;ppid=53703132&amp;vpid=671484550&amp;ct=offers" TargetMode="External"/><Relationship Id="rId23" Type="http://schemas.openxmlformats.org/officeDocument/2006/relationships/hyperlink" Target="https://media.digikey.com/pdf/Data%20Sheets/Samsung%20PDFs/CL31A476MPHNNNE_Spec.pdf" TargetMode="External"/><Relationship Id="rId24" Type="http://schemas.openxmlformats.org/officeDocument/2006/relationships/hyperlink" Target="https://octopart.com/click/track?ai=8078&amp;sig=05594e8&amp;sid=459&amp;ppid=21779777&amp;vpid=72527890&amp;ct=offers" TargetMode="External"/><Relationship Id="rId25" Type="http://schemas.openxmlformats.org/officeDocument/2006/relationships/hyperlink" Target="https://octopart.com/click/track?ai=8078&amp;sig=0112a9d&amp;sid=27971&amp;ppid=21779777&amp;vpid=476994816&amp;ct=offers" TargetMode="External"/><Relationship Id="rId26" Type="http://schemas.openxmlformats.org/officeDocument/2006/relationships/hyperlink" Target="https://octopart.com/click/track?ai=8078&amp;sig=09a453b&amp;sid=2401&amp;ppid=21779777&amp;vpid=659501911&amp;ct=offers" TargetMode="External"/><Relationship Id="rId27" Type="http://schemas.openxmlformats.org/officeDocument/2006/relationships/hyperlink" Target="https://octopart.com/click/track?ai=8078&amp;sig=0669206&amp;sid=1532&amp;ppid=21779777&amp;vpid=709157545&amp;ct=offers" TargetMode="External"/><Relationship Id="rId28" Type="http://schemas.openxmlformats.org/officeDocument/2006/relationships/hyperlink" Target="https://datasheets.avx.com/X7RDielectric.pdf" TargetMode="External"/><Relationship Id="rId29" Type="http://schemas.openxmlformats.org/officeDocument/2006/relationships/hyperlink" Target="https://octopart.com/click/track?ai=8078&amp;sig=02420a4&amp;sid=459&amp;ppid=8665604&amp;vpid=647100705&amp;ct=offers" TargetMode="External"/><Relationship Id="rId30" Type="http://schemas.openxmlformats.org/officeDocument/2006/relationships/hyperlink" Target="https://octopart.com/click/track?ai=8078&amp;sig=0523cd7&amp;sid=2401&amp;ppid=8665604&amp;vpid=87602653&amp;ct=offers" TargetMode="External"/><Relationship Id="rId31" Type="http://schemas.openxmlformats.org/officeDocument/2006/relationships/hyperlink" Target="https://octopart.com/click/track?c=1&amp;ai=8078&amp;sig=00cf776&amp;sid=2402&amp;ppid=8665604&amp;vpid=13589667&amp;ct=offers" TargetMode="External"/><Relationship Id="rId32" Type="http://schemas.openxmlformats.org/officeDocument/2006/relationships/hyperlink" Target="http://www.vishay.com/docs/85622/1n914.pdf" TargetMode="External"/><Relationship Id="rId33" Type="http://schemas.openxmlformats.org/officeDocument/2006/relationships/hyperlink" Target="https://octopart.com/click/track?ai=8078&amp;sig=064aef2&amp;sid=459&amp;ppid=84323160&amp;vpid=452456919&amp;ct=offers" TargetMode="External"/><Relationship Id="rId34" Type="http://schemas.openxmlformats.org/officeDocument/2006/relationships/hyperlink" Target="https://octopart.com/click/track?ai=8078&amp;sig=0b5afaf&amp;sid=819&amp;ppid=84323160&amp;vpid=440251431&amp;ct=offers" TargetMode="External"/><Relationship Id="rId35" Type="http://schemas.openxmlformats.org/officeDocument/2006/relationships/hyperlink" Target="https://octopart.com/click/track?ai=8078&amp;sig=0f6afa8&amp;sid=2401&amp;ppid=84323160&amp;vpid=438579435&amp;ct=offers" TargetMode="External"/><Relationship Id="rId36" Type="http://schemas.openxmlformats.org/officeDocument/2006/relationships/hyperlink" Target="https://octopart.com/click/track?ai=8078&amp;sig=0aba07b&amp;sid=2402&amp;ppid=84323160&amp;vpid=439854689&amp;ct=offers" TargetMode="External"/><Relationship Id="rId37" Type="http://schemas.openxmlformats.org/officeDocument/2006/relationships/hyperlink" Target="https://octopart.com/click/track?ai=8078&amp;sig=0ec8422&amp;sid=1532&amp;ppid=84323160&amp;vpid=709117650&amp;ct=offers" TargetMode="External"/><Relationship Id="rId38" Type="http://schemas.openxmlformats.org/officeDocument/2006/relationships/hyperlink" Target="http://www.ti.com/lit/ds/symlink/rc4558.pdf" TargetMode="External"/><Relationship Id="rId39" Type="http://schemas.openxmlformats.org/officeDocument/2006/relationships/hyperlink" Target="https://octopart.com/click/track?ai=8078&amp;sig=0b9bad3&amp;sid=459&amp;ppid=34634&amp;vpid=1285119&amp;ct=offers" TargetMode="External"/><Relationship Id="rId40" Type="http://schemas.openxmlformats.org/officeDocument/2006/relationships/hyperlink" Target="https://octopart.com/click/track?ai=8078&amp;sig=0b697b1&amp;sid=11744&amp;ppid=34634&amp;vpid=698226068&amp;ct=offers" TargetMode="External"/><Relationship Id="rId41" Type="http://schemas.openxmlformats.org/officeDocument/2006/relationships/hyperlink" Target="https://octopart.com/click/track?ai=8078&amp;sig=024a102&amp;sid=2401&amp;ppid=34634&amp;vpid=37662857&amp;ct=offers" TargetMode="External"/><Relationship Id="rId42" Type="http://schemas.openxmlformats.org/officeDocument/2006/relationships/hyperlink" Target="https://octopart.com/click/track?ai=8078&amp;sig=0720d07&amp;sid=2402&amp;ppid=34634&amp;vpid=702462570&amp;ct=offers" TargetMode="External"/><Relationship Id="rId43" Type="http://schemas.openxmlformats.org/officeDocument/2006/relationships/hyperlink" Target="https://octopart.com/click/track?ai=8078&amp;sig=07902b9&amp;sid=1532&amp;ppid=34634&amp;vpid=709228362&amp;ct=offers" TargetMode="External"/><Relationship Id="rId44" Type="http://schemas.openxmlformats.org/officeDocument/2006/relationships/hyperlink" Target="https://www.cui.com/product/resource/digikeypdf/pj-102a.pdf" TargetMode="External"/><Relationship Id="rId45" Type="http://schemas.openxmlformats.org/officeDocument/2006/relationships/hyperlink" Target="https://www.onsemi.com/pub/Collateral/MMBT4401-D.PDF" TargetMode="External"/><Relationship Id="rId46" Type="http://schemas.openxmlformats.org/officeDocument/2006/relationships/hyperlink" Target="https://octopart.com/click/track?ai=8078&amp;sig=07b8470&amp;sid=459&amp;ppid=91018000&amp;vpid=475508232&amp;ct=offers" TargetMode="External"/><Relationship Id="rId47" Type="http://schemas.openxmlformats.org/officeDocument/2006/relationships/hyperlink" Target="https://octopart.com/click/track?ai=8078&amp;sig=0799c21&amp;sid=11744&amp;ppid=91018000&amp;vpid=499601832&amp;ct=offers" TargetMode="External"/><Relationship Id="rId48" Type="http://schemas.openxmlformats.org/officeDocument/2006/relationships/hyperlink" Target="https://octopart.com/click/track?ai=8078&amp;sig=004b233&amp;sid=2401&amp;ppid=91018000&amp;vpid=478300850&amp;ct=offers" TargetMode="External"/><Relationship Id="rId49" Type="http://schemas.openxmlformats.org/officeDocument/2006/relationships/hyperlink" Target="https://octopart.com/click/track?ai=8078&amp;sig=0222911&amp;sid=2402&amp;ppid=91018000&amp;vpid=499730150&amp;ct=offers" TargetMode="External"/><Relationship Id="rId50" Type="http://schemas.openxmlformats.org/officeDocument/2006/relationships/hyperlink" Target="https://octopart.com/click/track?ai=8078&amp;sig=0f85316&amp;sid=459&amp;ppid=55404974&amp;vpid=188379345&amp;ct=offers" TargetMode="External"/><Relationship Id="rId51" Type="http://schemas.openxmlformats.org/officeDocument/2006/relationships/hyperlink" Target="https://octopart.com/click/track?ai=8078&amp;sig=0e31f5c&amp;sid=819&amp;ppid=55404974&amp;vpid=139310978&amp;ct=offers" TargetMode="External"/><Relationship Id="rId52" Type="http://schemas.openxmlformats.org/officeDocument/2006/relationships/hyperlink" Target="https://octopart.com/click/track?c=1&amp;ai=8078&amp;sig=016ef24&amp;sid=2401&amp;ppid=55404974&amp;vpid=193238475&amp;ct=offers" TargetMode="External"/><Relationship Id="rId53" Type="http://schemas.openxmlformats.org/officeDocument/2006/relationships/hyperlink" Target="https://octopart.com/click/track?ai=8078&amp;sig=0ced1a7&amp;sid=2402&amp;ppid=55404974&amp;vpid=191369325&amp;ct=offers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octopart.com/click/track?ai=8078&amp;sig=07a31e1&amp;sid=459&amp;ppid=19033060&amp;vpid=34209440&amp;ct=offers" TargetMode="External"/><Relationship Id="rId56" Type="http://schemas.openxmlformats.org/officeDocument/2006/relationships/hyperlink" Target="https://octopart.com/click/track?c=1&amp;ai=8078&amp;sig=0772029&amp;sid=11744&amp;ppid=19033060&amp;vpid=654129212&amp;ct=offers" TargetMode="External"/><Relationship Id="rId57" Type="http://schemas.openxmlformats.org/officeDocument/2006/relationships/hyperlink" Target="https://octopart.com/click/track?ai=8078&amp;sig=0ff5700&amp;sid=2401&amp;ppid=19033060&amp;vpid=256815932&amp;ct=offers" TargetMode="External"/><Relationship Id="rId58" Type="http://schemas.openxmlformats.org/officeDocument/2006/relationships/hyperlink" Target="https://octopart.com/click/track?c=1&amp;ai=8078&amp;sig=0e000fa&amp;sid=2402&amp;ppid=19033060&amp;vpid=655850091&amp;ct=offers" TargetMode="External"/><Relationship Id="rId59" Type="http://schemas.openxmlformats.org/officeDocument/2006/relationships/hyperlink" Target="https://octopart.com/click/track?c=1&amp;ai=8078&amp;sig=05b02bc&amp;sid=459&amp;ppid=100237765&amp;vpid=632257536&amp;ct=offers" TargetMode="External"/><Relationship Id="rId60" Type="http://schemas.openxmlformats.org/officeDocument/2006/relationships/hyperlink" Target="https://industrial.panasonic.com/cdbs/www-data/pdf/RDP0000/AOA0000C334.pdf" TargetMode="External"/><Relationship Id="rId61" Type="http://schemas.openxmlformats.org/officeDocument/2006/relationships/hyperlink" Target="https://octopart.com/click/track?ai=8078&amp;sig=03e8553&amp;sid=459&amp;ppid=26472107&amp;vpid=623854179&amp;ct=offers" TargetMode="External"/><Relationship Id="rId62" Type="http://schemas.openxmlformats.org/officeDocument/2006/relationships/hyperlink" Target="https://octopart.com/click/track?c=1&amp;ai=8078&amp;sig=061d38d&amp;sid=819&amp;ppid=100868628&amp;vpid=603712494&amp;ct=offers" TargetMode="External"/><Relationship Id="rId63" Type="http://schemas.openxmlformats.org/officeDocument/2006/relationships/hyperlink" Target="https://octopart.com/click/track?c=1&amp;ai=8078&amp;sig=066a094&amp;sid=2402&amp;ppid=26472107&amp;vpid=96493135&amp;ct=offers" TargetMode="External"/><Relationship Id="rId64" Type="http://schemas.openxmlformats.org/officeDocument/2006/relationships/hyperlink" Target="https://octopart.com/click/track?ai=8078&amp;sig=0faba59&amp;sid=459&amp;ppid=29717496&amp;vpid=474079055&amp;ct=offers" TargetMode="External"/><Relationship Id="rId65" Type="http://schemas.openxmlformats.org/officeDocument/2006/relationships/hyperlink" Target="https://octopart.com/click/track?c=1&amp;ai=8078&amp;sig=0f45126&amp;sid=11744&amp;ppid=29717496&amp;vpid=132640985&amp;ct=offers" TargetMode="External"/><Relationship Id="rId66" Type="http://schemas.openxmlformats.org/officeDocument/2006/relationships/hyperlink" Target="https://octopart.com/click/track?ai=8078&amp;sig=02a296b&amp;sid=2401&amp;ppid=29717496&amp;vpid=431538235&amp;ct=offers" TargetMode="External"/><Relationship Id="rId67" Type="http://schemas.openxmlformats.org/officeDocument/2006/relationships/hyperlink" Target="https://octopart.com/click/track?c=1&amp;ai=8078&amp;sig=0a99978&amp;sid=2402&amp;ppid=29717496&amp;vpid=588763743&amp;ct=offers" TargetMode="External"/><Relationship Id="rId68" Type="http://schemas.openxmlformats.org/officeDocument/2006/relationships/hyperlink" Target="https://octopart.com/click/track?ai=8078&amp;sig=0af0fee&amp;sid=459&amp;ppid=19215585&amp;vpid=452836962&amp;ct=offers" TargetMode="External"/><Relationship Id="rId69" Type="http://schemas.openxmlformats.org/officeDocument/2006/relationships/hyperlink" Target="https://octopart.com/click/track?ai=8078&amp;sig=0525b98&amp;sid=459&amp;ppid=81236039&amp;vpid=419089387&amp;ct=offers" TargetMode="External"/><Relationship Id="rId70" Type="http://schemas.openxmlformats.org/officeDocument/2006/relationships/hyperlink" Target="https://octopart.com/click/track?c=1&amp;ai=8078&amp;sig=00b8a56&amp;sid=11744&amp;ppid=81236039&amp;vpid=439207671&amp;ct=offers" TargetMode="External"/><Relationship Id="rId71" Type="http://schemas.openxmlformats.org/officeDocument/2006/relationships/hyperlink" Target="https://octopart.com/click/track?c=1&amp;ai=8078&amp;sig=048ad5a&amp;sid=2401&amp;ppid=81236039&amp;vpid=449043329&amp;ct=offers" TargetMode="External"/><Relationship Id="rId72" Type="http://schemas.openxmlformats.org/officeDocument/2006/relationships/hyperlink" Target="https://octopart.com/click/track?c=1&amp;ai=8078&amp;sig=04bc194&amp;sid=2402&amp;ppid=81236039&amp;vpid=432765237&amp;ct=offers" TargetMode="External"/><Relationship Id="rId73" Type="http://schemas.openxmlformats.org/officeDocument/2006/relationships/vmlDrawing" Target="../drawings/vmlDrawing1.vml"/><Relationship Id="rId7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65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2"/>
    <col min="5" max="5" width="9.140625" outlineLevel="1"/>
    <col min="6" max="6" width="9.140625" outlineLevel="1"/>
    <col min="7" max="7" width="9.140625" outlineLevel="1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  <col min="25" max="25" width="9.140625" outlineLevel="1"/>
    <col min="26" max="26" width="9.140625" outlineLevel="2"/>
    <col min="27" max="27" width="9.140625" outlineLevel="2"/>
    <col min="28" max="28" width="15.7109375" customWidth="1"/>
    <col min="29" max="29" width="15.7109375" customWidth="1" outlineLevel="2"/>
    <col min="30" max="30" width="9.140625" outlineLevel="1"/>
    <col min="31" max="31" width="9.140625" outlineLevel="2"/>
    <col min="32" max="32" width="9.140625" outlineLevel="2"/>
    <col min="33" max="33" width="15.7109375" customWidth="1"/>
    <col min="34" max="34" width="15.7109375" customWidth="1" outlineLevel="2"/>
    <col min="35" max="35" width="9.140625" outlineLevel="1"/>
    <col min="36" max="36" width="9.140625" outlineLevel="2"/>
    <col min="37" max="37" width="9.140625" outlineLevel="2"/>
    <col min="38" max="38" width="15.7109375" customWidth="1"/>
    <col min="39" max="39" width="15.7109375" customWidth="1" outlineLevel="2"/>
    <col min="40" max="40" width="9.140625" outlineLevel="1"/>
    <col min="41" max="41" width="9.140625" outlineLevel="2"/>
    <col min="42" max="42" width="9.140625" outlineLevel="2"/>
    <col min="43" max="43" width="15.7109375" customWidth="1"/>
    <col min="44" max="44" width="15.7109375" customWidth="1" outlineLevel="2"/>
    <col min="45" max="45" width="9.140625" outlineLevel="1"/>
    <col min="46" max="46" width="9.140625" outlineLevel="2"/>
    <col min="47" max="47" width="9.140625" outlineLevel="2"/>
    <col min="48" max="48" width="15.7109375" customWidth="1"/>
    <col min="49" max="49" width="15.7109375" customWidth="1" outlineLevel="2"/>
  </cols>
  <sheetData>
    <row r="1" spans="1:49">
      <c r="A1" s="1" t="s">
        <v>103</v>
      </c>
      <c r="B1" s="2" t="s">
        <v>104</v>
      </c>
      <c r="H1" s="3" t="s">
        <v>108</v>
      </c>
      <c r="I1" s="3">
        <v>100</v>
      </c>
    </row>
    <row r="2" spans="1:49">
      <c r="A2" s="1" t="s">
        <v>105</v>
      </c>
      <c r="B2" s="2"/>
      <c r="H2" s="1" t="s">
        <v>110</v>
      </c>
      <c r="I2" s="4">
        <f>TotalCost/BoardQty</f>
        <v>0</v>
      </c>
    </row>
    <row r="3" spans="1:49">
      <c r="A3" s="1" t="s">
        <v>106</v>
      </c>
      <c r="B3" s="2" t="s">
        <v>107</v>
      </c>
      <c r="H3" s="1" t="s">
        <v>109</v>
      </c>
      <c r="I3" s="5">
        <f>SUM(I7:I34)</f>
        <v>0</v>
      </c>
      <c r="M3" s="5">
        <f>SUM(M7:M34)</f>
        <v>0</v>
      </c>
      <c r="N3" s="6">
        <f>(COUNTA(M7:M34)&amp;" of "&amp;ROWS(M7:M34)&amp;" parts found"</f>
        <v>0</v>
      </c>
      <c r="R3" s="5">
        <f>SUM(R7:R34)</f>
        <v>0</v>
      </c>
      <c r="S3" s="6">
        <f>(COUNTA(R7:R34)&amp;" of "&amp;ROWS(R7:R34)&amp;" parts found"</f>
        <v>0</v>
      </c>
      <c r="W3" s="5">
        <f>SUM(W7:W34)</f>
        <v>0</v>
      </c>
      <c r="X3" s="6">
        <f>(COUNTA(W7:W34)&amp;" of "&amp;ROWS(W7:W34)&amp;" parts found"</f>
        <v>0</v>
      </c>
      <c r="AB3" s="5">
        <f>SUM(AB7:AB34)</f>
        <v>0</v>
      </c>
      <c r="AC3" s="6">
        <f>(COUNTA(AB7:AB34)&amp;" of "&amp;ROWS(AB7:AB34)&amp;" parts found"</f>
        <v>0</v>
      </c>
      <c r="AG3" s="5">
        <f>SUM(AG7:AG34)</f>
        <v>0</v>
      </c>
      <c r="AH3" s="6">
        <f>(COUNTA(AG7:AG34)&amp;" of "&amp;ROWS(AG7:AG34)&amp;" parts found"</f>
        <v>0</v>
      </c>
      <c r="AL3" s="5">
        <f>SUM(AL7:AL34)</f>
        <v>0</v>
      </c>
      <c r="AM3" s="6">
        <f>(COUNTA(AL7:AL34)&amp;" of "&amp;ROWS(AL7:AL34)&amp;" parts found"</f>
        <v>0</v>
      </c>
      <c r="AQ3" s="5">
        <f>SUM(AQ7:AQ34)</f>
        <v>0</v>
      </c>
      <c r="AR3" s="6">
        <f>(COUNTA(AQ7:AQ34)&amp;" of "&amp;ROWS(AQ7:AQ34)&amp;" parts found"</f>
        <v>0</v>
      </c>
      <c r="AV3" s="5">
        <f>SUM(AV7:AV34)</f>
        <v>0</v>
      </c>
      <c r="AW3" s="6">
        <f>(COUNTA(AV7:AV34)&amp;" of "&amp;ROWS(AV7:AV34)&amp;" parts found"</f>
        <v>0</v>
      </c>
    </row>
    <row r="4" spans="1:49">
      <c r="A4" s="1" t="s">
        <v>111</v>
      </c>
      <c r="B4" s="2" t="s">
        <v>112</v>
      </c>
    </row>
    <row r="5" spans="1:49">
      <c r="A5" s="7" t="s">
        <v>0</v>
      </c>
      <c r="B5" s="7"/>
      <c r="C5" s="7"/>
      <c r="D5" s="7"/>
      <c r="E5" s="7"/>
      <c r="F5" s="7"/>
      <c r="G5" s="7"/>
      <c r="H5" s="7"/>
      <c r="I5" s="7"/>
      <c r="J5" s="8" t="s">
        <v>113</v>
      </c>
      <c r="K5" s="8"/>
      <c r="L5" s="8"/>
      <c r="M5" s="8"/>
      <c r="N5" s="8"/>
      <c r="O5" s="9" t="s">
        <v>117</v>
      </c>
      <c r="P5" s="9"/>
      <c r="Q5" s="9"/>
      <c r="R5" s="9"/>
      <c r="S5" s="9"/>
      <c r="T5" s="10" t="s">
        <v>136</v>
      </c>
      <c r="U5" s="10"/>
      <c r="V5" s="10"/>
      <c r="W5" s="10"/>
      <c r="X5" s="10"/>
      <c r="Y5" s="11" t="s">
        <v>148</v>
      </c>
      <c r="Z5" s="11"/>
      <c r="AA5" s="11"/>
      <c r="AB5" s="11"/>
      <c r="AC5" s="11"/>
      <c r="AD5" s="12" t="s">
        <v>150</v>
      </c>
      <c r="AE5" s="12"/>
      <c r="AF5" s="12"/>
      <c r="AG5" s="12"/>
      <c r="AH5" s="12"/>
      <c r="AI5" s="13" t="s">
        <v>165</v>
      </c>
      <c r="AJ5" s="13"/>
      <c r="AK5" s="13"/>
      <c r="AL5" s="13"/>
      <c r="AM5" s="13"/>
      <c r="AN5" s="14" t="s">
        <v>179</v>
      </c>
      <c r="AO5" s="14"/>
      <c r="AP5" s="14"/>
      <c r="AQ5" s="14"/>
      <c r="AR5" s="14"/>
      <c r="AS5" s="15" t="s">
        <v>181</v>
      </c>
      <c r="AT5" s="15"/>
      <c r="AU5" s="15"/>
      <c r="AV5" s="15"/>
      <c r="AW5" s="15"/>
    </row>
    <row r="6" spans="1:49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8</v>
      </c>
      <c r="I6" s="16" t="s">
        <v>9</v>
      </c>
      <c r="J6" s="16" t="s">
        <v>114</v>
      </c>
      <c r="K6" s="16" t="s">
        <v>115</v>
      </c>
      <c r="L6" s="16" t="s">
        <v>8</v>
      </c>
      <c r="M6" s="16" t="s">
        <v>9</v>
      </c>
      <c r="N6" s="16" t="s">
        <v>116</v>
      </c>
      <c r="O6" s="16" t="s">
        <v>114</v>
      </c>
      <c r="P6" s="16" t="s">
        <v>115</v>
      </c>
      <c r="Q6" s="16" t="s">
        <v>8</v>
      </c>
      <c r="R6" s="16" t="s">
        <v>9</v>
      </c>
      <c r="S6" s="16" t="s">
        <v>116</v>
      </c>
      <c r="T6" s="16" t="s">
        <v>114</v>
      </c>
      <c r="U6" s="16" t="s">
        <v>115</v>
      </c>
      <c r="V6" s="16" t="s">
        <v>8</v>
      </c>
      <c r="W6" s="16" t="s">
        <v>9</v>
      </c>
      <c r="X6" s="16" t="s">
        <v>116</v>
      </c>
      <c r="Y6" s="16" t="s">
        <v>114</v>
      </c>
      <c r="Z6" s="16" t="s">
        <v>115</v>
      </c>
      <c r="AA6" s="16" t="s">
        <v>8</v>
      </c>
      <c r="AB6" s="16" t="s">
        <v>9</v>
      </c>
      <c r="AC6" s="16" t="s">
        <v>116</v>
      </c>
      <c r="AD6" s="16" t="s">
        <v>114</v>
      </c>
      <c r="AE6" s="16" t="s">
        <v>115</v>
      </c>
      <c r="AF6" s="16" t="s">
        <v>8</v>
      </c>
      <c r="AG6" s="16" t="s">
        <v>9</v>
      </c>
      <c r="AH6" s="16" t="s">
        <v>116</v>
      </c>
      <c r="AI6" s="16" t="s">
        <v>114</v>
      </c>
      <c r="AJ6" s="16" t="s">
        <v>115</v>
      </c>
      <c r="AK6" s="16" t="s">
        <v>8</v>
      </c>
      <c r="AL6" s="16" t="s">
        <v>9</v>
      </c>
      <c r="AM6" s="16" t="s">
        <v>116</v>
      </c>
      <c r="AN6" s="16" t="s">
        <v>114</v>
      </c>
      <c r="AO6" s="16" t="s">
        <v>115</v>
      </c>
      <c r="AP6" s="16" t="s">
        <v>8</v>
      </c>
      <c r="AQ6" s="16" t="s">
        <v>9</v>
      </c>
      <c r="AR6" s="16" t="s">
        <v>116</v>
      </c>
      <c r="AS6" s="16" t="s">
        <v>114</v>
      </c>
      <c r="AT6" s="16" t="s">
        <v>115</v>
      </c>
      <c r="AU6" s="16" t="s">
        <v>8</v>
      </c>
      <c r="AV6" s="16" t="s">
        <v>9</v>
      </c>
      <c r="AW6" s="16" t="s">
        <v>116</v>
      </c>
    </row>
    <row r="7" spans="1:49">
      <c r="A7" s="17" t="s">
        <v>10</v>
      </c>
      <c r="B7" s="17" t="s">
        <v>11</v>
      </c>
      <c r="D7" s="17" t="s">
        <v>12</v>
      </c>
      <c r="F7" s="17" t="s">
        <v>13</v>
      </c>
      <c r="G7" s="17">
        <f>BoardQty*1</f>
        <v>0</v>
      </c>
      <c r="H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7" s="18">
        <f>iferror(G7*H7,"")</f>
        <v>0</v>
      </c>
    </row>
    <row r="8" spans="1:49">
      <c r="A8" s="17" t="s">
        <v>14</v>
      </c>
      <c r="B8" s="17" t="s">
        <v>15</v>
      </c>
      <c r="D8" s="17" t="s">
        <v>12</v>
      </c>
      <c r="F8" s="17" t="s">
        <v>16</v>
      </c>
      <c r="G8" s="17">
        <f>BoardQty*1</f>
        <v>0</v>
      </c>
      <c r="H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8" s="18">
        <f>iferror(G8*H8,"")</f>
        <v>0</v>
      </c>
      <c r="O8" s="17">
        <v>67747</v>
      </c>
      <c r="Q8" s="18">
        <f>iferror(lookup(if(P8="",G8,P8),{0,1,10,50,100,500,1000,2500,5000,10000},{0.0,0.1,0.03,0.0164,0.0135,0.00962,0.00756,0.00687,0.00632,0.00577}),"")</f>
        <v>0</v>
      </c>
      <c r="R8" s="18">
        <f>iferror(if(P8="",G8,P8)*Q8,"")</f>
        <v>0</v>
      </c>
      <c r="S8" s="19" t="s">
        <v>118</v>
      </c>
      <c r="AD8" s="17">
        <v>13088</v>
      </c>
      <c r="AF8" s="18">
        <f>iferror(lookup(if(AE8="",G8,AE8),{0,1,10,50,100,1000,10000},{0.0,0.1,0.023,0.023,0.016,0.009,0.006}),"")</f>
        <v>0</v>
      </c>
      <c r="AG8" s="18">
        <f>iferror(if(AE8="",G8,AE8)*AF8,"")</f>
        <v>0</v>
      </c>
      <c r="AH8" s="19" t="s">
        <v>151</v>
      </c>
    </row>
    <row r="9" spans="1:49">
      <c r="A9" s="17" t="s">
        <v>17</v>
      </c>
      <c r="B9" s="17" t="s">
        <v>18</v>
      </c>
      <c r="D9" s="17" t="s">
        <v>12</v>
      </c>
      <c r="F9" s="17" t="s">
        <v>19</v>
      </c>
      <c r="G9" s="17">
        <f>BoardQty*1</f>
        <v>0</v>
      </c>
      <c r="H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9" s="18">
        <f>iferror(G9*H9,"")</f>
        <v>0</v>
      </c>
      <c r="O9" s="17">
        <v>32695</v>
      </c>
      <c r="Q9" s="18">
        <f>iferror(lookup(if(P9="",G9,P9),{0,1,10,4000},{0.0,0.1,0.077,0.07656}),"")</f>
        <v>0</v>
      </c>
      <c r="R9" s="18">
        <f>iferror(if(P9="",G9,P9)*Q9,"")</f>
        <v>0</v>
      </c>
      <c r="S9" s="19" t="s">
        <v>119</v>
      </c>
      <c r="T9" s="20" t="s">
        <v>121</v>
      </c>
      <c r="V9" s="18">
        <f>iferror(USD_GBP*lookup(if(U9="",G9,U9),{0,1,10,100,500,1000,2000,4000,20000},{0.0,0.688,0.688,0.43,0.313,0.265,0.26,0.265,0.26}),"")</f>
        <v>0</v>
      </c>
      <c r="W9" s="18">
        <f>iferror(if(U9="",G9,U9)*V9,"")</f>
        <v>0</v>
      </c>
      <c r="X9" s="19" t="s">
        <v>137</v>
      </c>
      <c r="AD9" s="17">
        <v>23808</v>
      </c>
      <c r="AF9" s="18">
        <f>iferror(lookup(if(AE9="",G9,AE9),{0,1,10,50,100,1000,10000},{0.0,0.52,0.366,0.366,0.22,0.152,0.147}),"")</f>
        <v>0</v>
      </c>
      <c r="AG9" s="18">
        <f>iferror(if(AE9="",G9,AE9)*AF9,"")</f>
        <v>0</v>
      </c>
      <c r="AH9" s="19" t="s">
        <v>152</v>
      </c>
      <c r="AI9" s="20" t="s">
        <v>121</v>
      </c>
      <c r="AK9" s="18">
        <f>iferror(lookup(if(AJ9="",G9,AJ9),{0,1,25,50,100,250,4000},{0.0,0.624,0.439,0.352,0.264,0.231,0.176}),"")</f>
        <v>0</v>
      </c>
      <c r="AL9" s="18">
        <f>iferror(if(AJ9="",G9,AJ9)*AK9,"")</f>
        <v>0</v>
      </c>
      <c r="AM9" s="19" t="s">
        <v>166</v>
      </c>
    </row>
    <row r="10" spans="1:49">
      <c r="A10" s="17" t="s">
        <v>20</v>
      </c>
      <c r="B10" s="17" t="s">
        <v>21</v>
      </c>
      <c r="D10" s="17" t="s">
        <v>12</v>
      </c>
      <c r="F10" s="17" t="s">
        <v>22</v>
      </c>
      <c r="G10" s="17">
        <f>BoardQty*1</f>
        <v>0</v>
      </c>
      <c r="H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0" s="18">
        <f>iferror(G10*H10,"")</f>
        <v>0</v>
      </c>
      <c r="O10" s="20" t="s">
        <v>121</v>
      </c>
      <c r="Q10" s="18">
        <f>iferror(lookup(if(P10="",G10,P10),{0,1,10,50,100,500},{0.0,1.19,0.939,0.8142,0.7046,0.53234}),"")</f>
        <v>0</v>
      </c>
      <c r="R10" s="18">
        <f>iferror(if(P10="",G10,P10)*Q10,"")</f>
        <v>0</v>
      </c>
      <c r="S10" s="19" t="s">
        <v>120</v>
      </c>
      <c r="AD10" s="20" t="s">
        <v>121</v>
      </c>
      <c r="AF10" s="18">
        <f>iferror(lookup(if(AE10="",G10,AE10),{0,1,10,50,100,1000,10000},{0.0,1.15,0.853,0.853,0.705,0.605,0.47}),"")</f>
        <v>0</v>
      </c>
      <c r="AG10" s="18">
        <f>iferror(if(AE10="",G10,AE10)*AF10,"")</f>
        <v>0</v>
      </c>
      <c r="AH10" s="19" t="s">
        <v>153</v>
      </c>
      <c r="AI10" s="20" t="s">
        <v>121</v>
      </c>
      <c r="AK10" s="18">
        <f>iferror(lookup(if(AJ10="",G10,AJ10),{0,1,500,1000},{0.0,0.591,0.591,0.559}),"")</f>
        <v>0</v>
      </c>
      <c r="AL10" s="18">
        <f>iferror(if(AJ10="",G10,AJ10)*AK10,"")</f>
        <v>0</v>
      </c>
      <c r="AM10" s="19" t="s">
        <v>167</v>
      </c>
    </row>
    <row r="11" spans="1:49">
      <c r="A11" s="17" t="s">
        <v>23</v>
      </c>
      <c r="B11" s="17" t="s">
        <v>24</v>
      </c>
      <c r="D11" s="17" t="s">
        <v>12</v>
      </c>
      <c r="F11" s="17" t="s">
        <v>25</v>
      </c>
      <c r="G11" s="17">
        <f>BoardQty*2</f>
        <v>0</v>
      </c>
      <c r="H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1" s="18">
        <f>iferror(G11*H11,"")</f>
        <v>0</v>
      </c>
    </row>
    <row r="12" spans="1:49">
      <c r="A12" s="17" t="s">
        <v>26</v>
      </c>
      <c r="B12" s="17" t="s">
        <v>27</v>
      </c>
      <c r="D12" s="17" t="s">
        <v>12</v>
      </c>
      <c r="F12" s="17" t="s">
        <v>28</v>
      </c>
      <c r="G12" s="17">
        <f>BoardQty*2</f>
        <v>0</v>
      </c>
      <c r="H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2" s="18">
        <f>iferror(G12*H12,"")</f>
        <v>0</v>
      </c>
      <c r="O12" s="17">
        <v>3692476</v>
      </c>
      <c r="Q12" s="18">
        <f>iferror(lookup(if(P12="",G12,P12),{0,1,10,50,100,500,1000,2500,5000,15000},{0.0,0.1,0.011,0.0062,0.0051,0.00362,0.00285,0.00259,0.00238,0.00207}),"")</f>
        <v>0</v>
      </c>
      <c r="R12" s="18">
        <f>iferror(if(P12="",G12,P12)*Q12,"")</f>
        <v>0</v>
      </c>
      <c r="S12" s="19" t="s">
        <v>122</v>
      </c>
      <c r="T12" s="17">
        <v>19433</v>
      </c>
      <c r="V12" s="18">
        <f>iferror(USD_GBP*lookup(if(U12="",G12,U12),{0,1,10,100,150,500,2500,7500,15000,75000},{0.0,0.0062,0.0062,0.005,0.005,0.0029,0.0022,0.0021,0.0016,0.0015}),"")</f>
        <v>0</v>
      </c>
      <c r="W12" s="18">
        <f>iferror(if(U12="",G12,U12)*V12,"")</f>
        <v>0</v>
      </c>
      <c r="X12" s="19" t="s">
        <v>138</v>
      </c>
      <c r="AD12" s="17">
        <v>102911</v>
      </c>
      <c r="AF12" s="18">
        <f>iferror(lookup(if(AE12="",G12,AE12),{0,1,10,50,100,1000,10000},{0.0,0.1,0.011,0.011,0.006,0.003,0.003}),"")</f>
        <v>0</v>
      </c>
      <c r="AG12" s="18">
        <f>iferror(if(AE12="",G12,AE12)*AF12,"")</f>
        <v>0</v>
      </c>
      <c r="AH12" s="19" t="s">
        <v>154</v>
      </c>
      <c r="AI12" s="17">
        <v>17998</v>
      </c>
      <c r="AK12" s="18">
        <f>iferror(lookup(if(AJ12="",G12,AJ12),{0,1,10,25,50,100,250,500,1000,15000},{0.0,0.101,0.016,0.013,0.01,0.007,0.006,0.005,0.004,0.002}),"")</f>
        <v>0</v>
      </c>
      <c r="AL12" s="18">
        <f>iferror(if(AJ12="",G12,AJ12)*AK12,"")</f>
        <v>0</v>
      </c>
      <c r="AM12" s="19" t="s">
        <v>168</v>
      </c>
      <c r="AN12" s="17">
        <v>30000</v>
      </c>
      <c r="AP12" s="18">
        <f>iferror(USD_GBP*lookup(if(AO12="",G12,AO12),{0,1,15000},{0.0,0.002,0.002}),"")</f>
        <v>0</v>
      </c>
      <c r="AQ12" s="18">
        <f>iferror(if(AO12="",G12,AO12)*AP12,"")</f>
        <v>0</v>
      </c>
      <c r="AR12" s="19" t="s">
        <v>180</v>
      </c>
    </row>
    <row r="13" spans="1:49">
      <c r="A13" s="17" t="s">
        <v>29</v>
      </c>
      <c r="B13" s="17" t="s">
        <v>30</v>
      </c>
      <c r="D13" s="17" t="s">
        <v>12</v>
      </c>
      <c r="F13" s="17" t="s">
        <v>31</v>
      </c>
      <c r="G13" s="17">
        <f>BoardQty*1</f>
        <v>0</v>
      </c>
      <c r="H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3" s="18">
        <f>iferror(G13*H13,"")</f>
        <v>0</v>
      </c>
      <c r="O13" s="17">
        <v>270</v>
      </c>
      <c r="Q13" s="18">
        <f>iferror(lookup(if(P13="",G13,P13),{0,1,10,100,500,10000},{0.0,0.1,0.022,0.0199,0.01764,0.01457}),"")</f>
        <v>0</v>
      </c>
      <c r="R13" s="18">
        <f>iferror(if(P13="",G13,P13)*Q13,"")</f>
        <v>0</v>
      </c>
      <c r="S13" s="19" t="s">
        <v>123</v>
      </c>
      <c r="T13" s="20" t="s">
        <v>121</v>
      </c>
      <c r="V13" s="18">
        <f>iferror(USD_GBP*lookup(if(U13="",G13,U13),{0,1,10,100,150,500,2500,5000,10000,50000},{0.0,0.0369,0.0369,0.0241,0.0241,0.0178,0.0155,0.0152,0.0118,0.0099}),"")</f>
        <v>0</v>
      </c>
      <c r="W13" s="18">
        <f>iferror(if(U13="",G13,U13)*V13,"")</f>
        <v>0</v>
      </c>
      <c r="X13" s="19" t="s">
        <v>139</v>
      </c>
      <c r="AD13" s="20" t="s">
        <v>121</v>
      </c>
      <c r="AF13" s="18">
        <f>iferror(lookup(if(AE13="",G13,AE13),{0,1,10,50,100,1000,10000},{0.0,0.1,0.023,0.023,0.021,0.018,0.016}),"")</f>
        <v>0</v>
      </c>
      <c r="AG13" s="18">
        <f>iferror(if(AE13="",G13,AE13)*AF13,"")</f>
        <v>0</v>
      </c>
      <c r="AH13" s="19" t="s">
        <v>155</v>
      </c>
      <c r="AI13" s="20" t="s">
        <v>121</v>
      </c>
      <c r="AK13" s="18">
        <f>iferror(lookup(if(AJ13="",G13,AJ13),{0,1,10,25,50,100},{0.0,0.03,0.03,0.029,0.027,0.026}),"")</f>
        <v>0</v>
      </c>
      <c r="AL13" s="18">
        <f>iferror(if(AJ13="",G13,AJ13)*AK13,"")</f>
        <v>0</v>
      </c>
      <c r="AM13" s="19" t="s">
        <v>169</v>
      </c>
    </row>
    <row r="14" spans="1:49">
      <c r="A14" s="17" t="s">
        <v>32</v>
      </c>
      <c r="B14" s="17" t="s">
        <v>33</v>
      </c>
      <c r="D14" s="17" t="s">
        <v>12</v>
      </c>
      <c r="F14" s="17" t="s">
        <v>34</v>
      </c>
      <c r="G14" s="17">
        <f>BoardQty*1</f>
        <v>0</v>
      </c>
      <c r="H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4" s="18">
        <f>iferror(G14*H14,"")</f>
        <v>0</v>
      </c>
      <c r="O14" s="17">
        <v>1817</v>
      </c>
      <c r="Q14" s="18">
        <f>iferror(lookup(if(P14="",G14,P14),{0,1,10,50,100,500,1000,2000},{0.0,0.49,0.346,0.2618,0.2279,0.16884,0.14352,0.13384}),"")</f>
        <v>0</v>
      </c>
      <c r="R14" s="18">
        <f>iferror(if(P14="",G14,P14)*Q14,"")</f>
        <v>0</v>
      </c>
      <c r="S14" s="19" t="s">
        <v>124</v>
      </c>
      <c r="Y14" s="17">
        <v>34860</v>
      </c>
      <c r="AA14" s="18">
        <f>iferror(lookup(if(Z14="",G14,Z14),{0,1,5,50,150,500,2500,5000},{0.0,0.63057,0.63057,0.47109,0.4418,0.41251,0.39949,0.39306}),"")</f>
        <v>0</v>
      </c>
      <c r="AB14" s="18">
        <f>iferror(if(Z14="",G14,Z14)*AA14,"")</f>
        <v>0</v>
      </c>
      <c r="AC14" s="19" t="s">
        <v>149</v>
      </c>
      <c r="AD14" s="17">
        <v>19881</v>
      </c>
      <c r="AF14" s="18">
        <f>iferror(lookup(if(AE14="",G14,AE14),{0,1,10,50,100,1000,10000},{0.0,0.5,0.289,0.289,0.231,0.162,0.157}),"")</f>
        <v>0</v>
      </c>
      <c r="AG14" s="18">
        <f>iferror(if(AE14="",G14,AE14)*AF14,"")</f>
        <v>0</v>
      </c>
      <c r="AH14" s="19" t="s">
        <v>156</v>
      </c>
      <c r="AS14" s="17">
        <v>640</v>
      </c>
      <c r="AU14" s="18">
        <f>iferror(USD_GBP*lookup(if(AT14="",G14,AT14),{0,1,10,100,1000,2000,10000},{0.0,0.204,0.204,0.1435,0.11796,0.10256,0.09914}),"")</f>
        <v>0</v>
      </c>
      <c r="AV14" s="18">
        <f>iferror(if(AT14="",G14,AT14)*AU14,"")</f>
        <v>0</v>
      </c>
      <c r="AW14" s="19" t="s">
        <v>34</v>
      </c>
    </row>
    <row r="15" spans="1:49">
      <c r="A15" s="17" t="s">
        <v>35</v>
      </c>
      <c r="B15" s="17" t="s">
        <v>36</v>
      </c>
      <c r="D15" s="17" t="s">
        <v>12</v>
      </c>
      <c r="F15" s="17" t="s">
        <v>37</v>
      </c>
      <c r="G15" s="17">
        <f>BoardQty*1</f>
        <v>0</v>
      </c>
      <c r="H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5" s="18">
        <f>iferror(G15*H15,"")</f>
        <v>0</v>
      </c>
      <c r="O15" s="17">
        <v>13346</v>
      </c>
      <c r="Q15" s="18">
        <f>iferror(lookup(if(P15="",G15,P15),{0,1,10,50,100,500,1000,2500,5000,15000},{0.0,0.45,0.315,0.2206,0.1891,0.1418,0.11974,0.11344,0.10713,0.09768}),"")</f>
        <v>0</v>
      </c>
      <c r="R15" s="18">
        <f>iferror(if(P15="",G15,P15)*Q15,"")</f>
        <v>0</v>
      </c>
      <c r="S15" s="19" t="s">
        <v>125</v>
      </c>
      <c r="AD15" s="17">
        <v>21586</v>
      </c>
      <c r="AF15" s="18">
        <f>iferror(lookup(if(AE15="",G15,AE15),{0,1,10,50,100,1000,10000},{0.0,0.5,0.346,0.346,0.208,0.132,0.094}),"")</f>
        <v>0</v>
      </c>
      <c r="AG15" s="18">
        <f>iferror(if(AE15="",G15,AE15)*AF15,"")</f>
        <v>0</v>
      </c>
      <c r="AH15" s="19" t="s">
        <v>157</v>
      </c>
      <c r="AI15" s="20" t="s">
        <v>121</v>
      </c>
      <c r="AK15" s="18">
        <f>iferror(lookup(if(AJ15="",G15,AJ15),{0,1,15000},{0.0,0.113,0.113}),"")</f>
        <v>0</v>
      </c>
      <c r="AL15" s="18">
        <f>iferror(if(AJ15="",G15,AJ15)*AK15,"")</f>
        <v>0</v>
      </c>
      <c r="AM15" s="19" t="s">
        <v>170</v>
      </c>
    </row>
    <row r="16" spans="1:49">
      <c r="A16" s="17" t="s">
        <v>38</v>
      </c>
      <c r="B16" s="17" t="s">
        <v>39</v>
      </c>
      <c r="D16" s="17" t="s">
        <v>40</v>
      </c>
      <c r="F16" s="17" t="s">
        <v>39</v>
      </c>
      <c r="G16" s="17">
        <f>BoardQty*3</f>
        <v>0</v>
      </c>
      <c r="H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6" s="18">
        <f>iferror(G16*H16,"")</f>
        <v>0</v>
      </c>
      <c r="O16" s="17">
        <v>51710</v>
      </c>
      <c r="Q16" s="18">
        <f>iferror(lookup(if(P16="",G16,P16),{0,1,10,100,500,1000,2000,5000,10000,50000},{0.0,0.1,0.084,0.0455,0.02798,0.01908,0.01622,0.01463,0.01272,0.0105}),"")</f>
        <v>0</v>
      </c>
      <c r="R16" s="18">
        <f>iferror(if(P16="",G16,P16)*Q16,"")</f>
        <v>0</v>
      </c>
      <c r="S16" s="19" t="s">
        <v>126</v>
      </c>
      <c r="T16" s="17">
        <v>130101</v>
      </c>
      <c r="V16" s="18">
        <f>iferror(USD_GBP*lookup(if(U16="",G16,U16),{0,1,5,10,100,500,1000},{0.0,0.122,0.122,0.0835,0.0311,0.0232,0.0152}),"")</f>
        <v>0</v>
      </c>
      <c r="W16" s="18">
        <f>iferror(if(U16="",G16,U16)*V16,"")</f>
        <v>0</v>
      </c>
      <c r="X16" s="19" t="s">
        <v>140</v>
      </c>
      <c r="AD16" s="17">
        <v>113391</v>
      </c>
      <c r="AF16" s="18">
        <f>iferror(lookup(if(AE16="",G16,AE16),{0,1,10,50,100,1000,10000},{0.0,0.1,0.087,0.087,0.048,0.02,0.013}),"")</f>
        <v>0</v>
      </c>
      <c r="AG16" s="18">
        <f>iferror(if(AE16="",G16,AE16)*AF16,"")</f>
        <v>0</v>
      </c>
      <c r="AH16" s="19" t="s">
        <v>158</v>
      </c>
      <c r="AI16" s="17">
        <v>156395</v>
      </c>
      <c r="AK16" s="18">
        <f>iferror(lookup(if(AJ16="",G16,AJ16),{0,1,5,10,25,50,100,500,1000,2500},{0.0,0.117,0.118,0.069,0.029,0.029,0.037,0.031,0.021,0.017}),"")</f>
        <v>0</v>
      </c>
      <c r="AL16" s="18">
        <f>iferror(if(AJ16="",G16,AJ16)*AK16,"")</f>
        <v>0</v>
      </c>
      <c r="AM16" s="19" t="s">
        <v>171</v>
      </c>
      <c r="AS16" s="17">
        <v>5650</v>
      </c>
      <c r="AU16" s="18">
        <f>iferror(USD_GBP*lookup(if(AT16="",G16,AT16),{0,1,30,100,250,1000,5000},{0.0,0.02433,0.02433,0.0119,0.01056,0.00897,0.00808}),"")</f>
        <v>0</v>
      </c>
      <c r="AV16" s="18">
        <f>iferror(if(AT16="",G16,AT16)*AU16,"")</f>
        <v>0</v>
      </c>
      <c r="AW16" s="19" t="s">
        <v>182</v>
      </c>
    </row>
    <row r="17" spans="1:49">
      <c r="A17" s="17" t="s">
        <v>41</v>
      </c>
      <c r="B17" s="17" t="s">
        <v>42</v>
      </c>
      <c r="D17" s="17" t="s">
        <v>43</v>
      </c>
      <c r="F17" s="17" t="s">
        <v>42</v>
      </c>
      <c r="G17" s="17">
        <f>BoardQty*1</f>
        <v>0</v>
      </c>
      <c r="H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7" s="18">
        <f>iferror(G17*H17,"")</f>
        <v>0</v>
      </c>
    </row>
    <row r="18" spans="1:49">
      <c r="A18" s="17" t="s">
        <v>44</v>
      </c>
      <c r="B18" s="17" t="s">
        <v>45</v>
      </c>
      <c r="D18" s="17" t="s">
        <v>46</v>
      </c>
      <c r="F18" s="17" t="s">
        <v>47</v>
      </c>
      <c r="G18" s="17">
        <f>BoardQty*1</f>
        <v>0</v>
      </c>
      <c r="H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8" s="18">
        <f>iferror(G18*H18,"")</f>
        <v>0</v>
      </c>
      <c r="O18" s="17">
        <v>3</v>
      </c>
      <c r="Q18" s="18">
        <f>iferror(lookup(if(P18="",G18,P18),{0,1,10,25,100,250,500,1000,2500},{0.0,0.41,0.334,0.3052,0.2273,0.20596,0.17044,0.12784,0.11725}),"")</f>
        <v>0</v>
      </c>
      <c r="R18" s="18">
        <f>iferror(if(P18="",G18,P18)*Q18,"")</f>
        <v>0</v>
      </c>
      <c r="S18" s="19" t="s">
        <v>127</v>
      </c>
      <c r="T18" s="17">
        <v>59</v>
      </c>
      <c r="V18" s="18">
        <f>iferror(USD_GBP*lookup(if(U18="",G18,U18),{0,1,10,100,500,1000},{0.0,0.379,0.272,0.246,0.22,0.193}),"")</f>
        <v>0</v>
      </c>
      <c r="W18" s="18">
        <f>iferror(if(U18="",G18,U18)*V18,"")</f>
        <v>0</v>
      </c>
      <c r="X18" s="19" t="s">
        <v>141</v>
      </c>
      <c r="AD18" s="17">
        <v>7050</v>
      </c>
      <c r="AF18" s="18">
        <f>iferror(lookup(if(AE18="",G18,AE18),{0,1,10,50,100,1000,10000},{0.0,0.41,0.334,0.334,0.334,0.334,0.334}),"")</f>
        <v>0</v>
      </c>
      <c r="AG18" s="18">
        <f>iferror(if(AE18="",G18,AE18)*AF18,"")</f>
        <v>0</v>
      </c>
      <c r="AH18" s="19" t="s">
        <v>159</v>
      </c>
      <c r="AI18" s="17">
        <v>59</v>
      </c>
      <c r="AK18" s="18">
        <f>iferror(lookup(if(AJ18="",G18,AJ18),{0,1,10,100,500,1000,2500},{0.0,0.451,0.367,0.296,0.276,0.26,0.246}),"")</f>
        <v>0</v>
      </c>
      <c r="AL18" s="18">
        <f>iferror(if(AJ18="",G18,AJ18)*AK18,"")</f>
        <v>0</v>
      </c>
      <c r="AM18" s="19" t="s">
        <v>172</v>
      </c>
      <c r="AS18" s="17">
        <v>496</v>
      </c>
      <c r="AU18" s="18">
        <f>iferror(USD_GBP*lookup(if(AT18="",G18,AT18),{0,1,3,25,75,300},{0.0,0.20667,0.20667,0.1616,0.13853,0.10793}),"")</f>
        <v>0</v>
      </c>
      <c r="AV18" s="18">
        <f>iferror(if(AT18="",G18,AT18)*AU18,"")</f>
        <v>0</v>
      </c>
      <c r="AW18" s="19" t="s">
        <v>47</v>
      </c>
    </row>
    <row r="19" spans="1:49">
      <c r="A19" s="17" t="s">
        <v>48</v>
      </c>
      <c r="B19" s="17" t="s">
        <v>49</v>
      </c>
      <c r="D19" s="17" t="s">
        <v>49</v>
      </c>
      <c r="G19" s="17">
        <f>BoardQty*2</f>
        <v>0</v>
      </c>
      <c r="H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19" s="18">
        <f>iferror(G19*H19,"")</f>
        <v>0</v>
      </c>
    </row>
    <row r="20" spans="1:49">
      <c r="A20" s="17" t="s">
        <v>50</v>
      </c>
      <c r="B20" s="17" t="s">
        <v>51</v>
      </c>
      <c r="C20" s="17" t="s">
        <v>52</v>
      </c>
      <c r="D20" s="17" t="s">
        <v>53</v>
      </c>
      <c r="E20" s="17" t="s">
        <v>54</v>
      </c>
      <c r="F20" s="17" t="s">
        <v>55</v>
      </c>
      <c r="G20" s="17">
        <f>BoardQty*1</f>
        <v>0</v>
      </c>
      <c r="H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0" s="18">
        <f>iferror(G20*H20,"")</f>
        <v>0</v>
      </c>
    </row>
    <row r="21" spans="1:49">
      <c r="A21" s="17" t="s">
        <v>56</v>
      </c>
      <c r="B21" s="17" t="s">
        <v>57</v>
      </c>
      <c r="C21" s="17" t="s">
        <v>58</v>
      </c>
      <c r="D21" s="17" t="s">
        <v>59</v>
      </c>
      <c r="E21" s="17" t="s">
        <v>60</v>
      </c>
      <c r="F21" s="17" t="s">
        <v>61</v>
      </c>
      <c r="G21" s="17">
        <f>BoardQty*2</f>
        <v>0</v>
      </c>
      <c r="H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1" s="18">
        <f>iferror(G21*H21,"")</f>
        <v>0</v>
      </c>
    </row>
    <row r="22" spans="1:49">
      <c r="A22" s="17" t="s">
        <v>62</v>
      </c>
      <c r="B22" s="17" t="s">
        <v>63</v>
      </c>
      <c r="D22" s="17" t="s">
        <v>64</v>
      </c>
      <c r="F22" s="17" t="s">
        <v>65</v>
      </c>
      <c r="G22" s="17">
        <f>BoardQty*5</f>
        <v>0</v>
      </c>
      <c r="H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2" s="18">
        <f>iferror(G22*H22,"")</f>
        <v>0</v>
      </c>
      <c r="O22" s="17">
        <v>67151</v>
      </c>
      <c r="Q22" s="18">
        <f>iferror(lookup(if(P22="",G22,P22),{0,1,10,100,1000,2500,5000,10000},{0.0,0.1,0.019,0.0075,0.00338,0.00294,0.00243,0.00211}),"")</f>
        <v>0</v>
      </c>
      <c r="R22" s="18">
        <f>iferror(if(P22="",G22,P22)*Q22,"")</f>
        <v>0</v>
      </c>
      <c r="S22" s="19" t="s">
        <v>128</v>
      </c>
      <c r="T22" s="17">
        <v>10056</v>
      </c>
      <c r="V22" s="18">
        <f>iferror(USD_GBP*lookup(if(U22="",G22,U22),{0,1,10,100,150,500,2500,5000,10000,50000},{0.0,0.0138,0.0138,0.0057,0.0057,0.0028,0.0022,0.0018,0.0016,0.0014}),"")</f>
        <v>0</v>
      </c>
      <c r="W22" s="18">
        <f>iferror(if(U22="",G22,U22)*V22,"")</f>
        <v>0</v>
      </c>
      <c r="X22" s="19" t="s">
        <v>142</v>
      </c>
      <c r="AD22" s="17">
        <v>28670</v>
      </c>
      <c r="AF22" s="18">
        <f>iferror(lookup(if(AE22="",G22,AE22),{0,1,10,50,100,1000,10000},{0.0,0.1,0.018,0.018,0.008,0.004,0.002}),"")</f>
        <v>0</v>
      </c>
      <c r="AG22" s="18">
        <f>iferror(if(AE22="",G22,AE22)*AF22,"")</f>
        <v>0</v>
      </c>
      <c r="AH22" s="19" t="s">
        <v>160</v>
      </c>
      <c r="AI22" s="17">
        <v>6431</v>
      </c>
      <c r="AK22" s="18">
        <f>iferror(lookup(if(AJ22="",G22,AJ22),{0,1,10,25,50,100,20000},{0.0,0.007,0.006,0.005,0.005,0.004,0.002}),"")</f>
        <v>0</v>
      </c>
      <c r="AL22" s="18">
        <f>iferror(if(AJ22="",G22,AJ22)*AK22,"")</f>
        <v>0</v>
      </c>
      <c r="AM22" s="19" t="s">
        <v>173</v>
      </c>
    </row>
    <row r="23" spans="1:49">
      <c r="A23" s="17" t="s">
        <v>66</v>
      </c>
      <c r="B23" s="17" t="s">
        <v>67</v>
      </c>
      <c r="D23" s="17" t="s">
        <v>64</v>
      </c>
      <c r="F23" s="17" t="s">
        <v>68</v>
      </c>
      <c r="G23" s="17">
        <f>BoardQty*1</f>
        <v>0</v>
      </c>
      <c r="H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3" s="18">
        <f>iferror(G23*H23,"")</f>
        <v>0</v>
      </c>
      <c r="O23" s="17">
        <v>63876</v>
      </c>
      <c r="Q23" s="18">
        <f>iferror(lookup(if(P23="",G23,P23),{0,1,10,100,1000,4000},{0.0,0.43,0.327,0.1374,0.07581,0.07107}),"")</f>
        <v>0</v>
      </c>
      <c r="R23" s="18">
        <f>iferror(if(P23="",G23,P23)*Q23,"")</f>
        <v>0</v>
      </c>
      <c r="S23" s="19" t="s">
        <v>129</v>
      </c>
      <c r="T23" s="17">
        <v>18</v>
      </c>
      <c r="V23" s="18">
        <f>iferror(USD_GBP*lookup(if(U23="",G23,U23),{0,1,10,100,150,500,1000,2000,4000,20000},{0.0,0.329,0.329,0.128,0.128,0.112,0.0958,0.0916,0.091,0.0903}),"")</f>
        <v>0</v>
      </c>
      <c r="W23" s="18">
        <f>iferror(if(U23="",G23,U23)*V23,"")</f>
        <v>0</v>
      </c>
      <c r="X23" s="19" t="s">
        <v>143</v>
      </c>
      <c r="AD23" s="20" t="s">
        <v>121</v>
      </c>
      <c r="AF23" s="18">
        <f>iferror(lookup(if(AE23="",G23,AE23),{0,1,10,50,100,1000,10000},{0.0,0.43,0.327,0.327,0.142,0.076,0.07}),"")</f>
        <v>0</v>
      </c>
      <c r="AG23" s="18">
        <f>iferror(if(AE23="",G23,AE23)*AF23,"")</f>
        <v>0</v>
      </c>
      <c r="AH23" s="19" t="s">
        <v>161</v>
      </c>
      <c r="AI23" s="17">
        <v>8000</v>
      </c>
      <c r="AK23" s="18">
        <f>iferror(lookup(if(AJ23="",G23,AJ23),{0,1,10,25,50,100,250,500,1000,4000,8000,16000,24000},{0.0,0.048,0.321,0.048,0.048,0.048,0.048,0.048,0.048,0.076,0.072,0.071,0.069}),"")</f>
        <v>0</v>
      </c>
      <c r="AL23" s="18">
        <f>iferror(if(AJ23="",G23,AJ23)*AK23,"")</f>
        <v>0</v>
      </c>
      <c r="AM23" s="19" t="s">
        <v>174</v>
      </c>
    </row>
    <row r="24" spans="1:49">
      <c r="A24" s="17" t="s">
        <v>69</v>
      </c>
      <c r="B24" s="17" t="s">
        <v>70</v>
      </c>
      <c r="D24" s="17" t="s">
        <v>64</v>
      </c>
      <c r="F24" s="17" t="s">
        <v>71</v>
      </c>
      <c r="G24" s="17">
        <f>BoardQty*1</f>
        <v>0</v>
      </c>
      <c r="H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4" s="18">
        <f>iferror(G24*H24,"")</f>
        <v>0</v>
      </c>
      <c r="O24" s="17">
        <v>40000</v>
      </c>
      <c r="Q24" s="18">
        <f>iferror(lookup(if(P24="",G24,P24),{0,1,10,100,1000,2500,5000,20000},{0.0,0.32,0.27,0.1055,0.04417,0.04049,0.03681,0.03436}),"")</f>
        <v>0</v>
      </c>
      <c r="R24" s="18">
        <f>iferror(if(P24="",G24,P24)*Q24,"")</f>
        <v>0</v>
      </c>
      <c r="S24" s="19" t="s">
        <v>130</v>
      </c>
      <c r="T24" s="20" t="s">
        <v>121</v>
      </c>
      <c r="V24" s="18">
        <f>iferror(USD_GBP*lookup(if(U24="",G24,U24),{0,1,10,150,250,1000,5000,10000,20000,100000},{0.0,0.0886,0.0886,0.0886,0.0595,0.041,0.0298,0.0264,0.0253,0.0241}),"")</f>
        <v>0</v>
      </c>
      <c r="W24" s="18">
        <f>iferror(if(U24="",G24,U24)*V24,"")</f>
        <v>0</v>
      </c>
      <c r="X24" s="19" t="s">
        <v>144</v>
      </c>
      <c r="AD24" s="17">
        <v>197316</v>
      </c>
      <c r="AF24" s="18">
        <f>iferror(lookup(if(AE24="",G24,AE24),{0,1,10,50,100,1000,10000},{0.0,0.32,0.27,0.27,0.106,0.045,0.037}),"")</f>
        <v>0</v>
      </c>
      <c r="AG24" s="18">
        <f>iferror(if(AE24="",G24,AE24)*AF24,"")</f>
        <v>0</v>
      </c>
      <c r="AH24" s="19" t="s">
        <v>162</v>
      </c>
      <c r="AI24" s="20" t="s">
        <v>121</v>
      </c>
      <c r="AK24" s="18">
        <f>iferror(lookup(if(AJ24="",G24,AJ24),{0,1,10,25,50,100},{0.0,0.195,0.195,0.152,0.11,0.068}),"")</f>
        <v>0</v>
      </c>
      <c r="AL24" s="18">
        <f>iferror(if(AJ24="",G24,AJ24)*AK24,"")</f>
        <v>0</v>
      </c>
      <c r="AM24" s="19" t="s">
        <v>175</v>
      </c>
    </row>
    <row r="25" spans="1:49">
      <c r="A25" s="17" t="s">
        <v>72</v>
      </c>
      <c r="B25" s="17" t="s">
        <v>73</v>
      </c>
      <c r="D25" s="17" t="s">
        <v>74</v>
      </c>
      <c r="G25" s="17">
        <f>BoardQty*1</f>
        <v>0</v>
      </c>
      <c r="H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5" s="18">
        <f>iferror(G25*H25,"")</f>
        <v>0</v>
      </c>
    </row>
    <row r="26" spans="1:49">
      <c r="A26" s="17" t="s">
        <v>75</v>
      </c>
      <c r="B26" s="17" t="s">
        <v>76</v>
      </c>
      <c r="D26" s="17" t="s">
        <v>64</v>
      </c>
      <c r="F26" s="17" t="s">
        <v>77</v>
      </c>
      <c r="G26" s="17">
        <f>BoardQty*2</f>
        <v>0</v>
      </c>
      <c r="H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6" s="18">
        <f>iferror(G26*H26,"")</f>
        <v>0</v>
      </c>
      <c r="O26" s="20" t="s">
        <v>121</v>
      </c>
      <c r="Q26" s="18">
        <f>iferror(lookup(if(P26="",G26,P26),{0,1,1000,5000,10000},{0.0,0.0663,0.0663,0.05558,0.05304}),"")</f>
        <v>0</v>
      </c>
      <c r="R26" s="18">
        <f>iferror(if(P26="",G26,P26)*Q26,"")</f>
        <v>0</v>
      </c>
      <c r="S26" s="19" t="s">
        <v>131</v>
      </c>
    </row>
    <row r="27" spans="1:49">
      <c r="A27" s="17" t="s">
        <v>78</v>
      </c>
      <c r="B27" s="17" t="s">
        <v>79</v>
      </c>
      <c r="D27" s="17" t="s">
        <v>74</v>
      </c>
      <c r="G27" s="17">
        <f>BoardQty*1</f>
        <v>0</v>
      </c>
      <c r="H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7" s="18">
        <f>iferror(G27*H27,"")</f>
        <v>0</v>
      </c>
    </row>
    <row r="28" spans="1:49">
      <c r="A28" s="17" t="s">
        <v>80</v>
      </c>
      <c r="B28" s="17" t="s">
        <v>81</v>
      </c>
      <c r="D28" s="17" t="s">
        <v>74</v>
      </c>
      <c r="G28" s="17">
        <f>BoardQty*1</f>
        <v>0</v>
      </c>
      <c r="H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8" s="18">
        <f>iferror(G28*H28,"")</f>
        <v>0</v>
      </c>
    </row>
    <row r="29" spans="1:49">
      <c r="A29" s="17" t="s">
        <v>82</v>
      </c>
      <c r="B29" s="17" t="s">
        <v>83</v>
      </c>
      <c r="D29" s="17" t="s">
        <v>64</v>
      </c>
      <c r="F29" s="17" t="s">
        <v>84</v>
      </c>
      <c r="G29" s="17">
        <f>BoardQty*1</f>
        <v>0</v>
      </c>
      <c r="H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29" s="18">
        <f>iferror(G29*H29,"")</f>
        <v>0</v>
      </c>
      <c r="O29" s="17">
        <v>9800</v>
      </c>
      <c r="Q29" s="18">
        <f>iferror(lookup(if(P29="",G29,P29),{0,1,10,100,1000,2500,5000,10000},{0.0,0.1,0.075,0.0288,0.01265,0.01092,0.00978,0.00877}),"")</f>
        <v>0</v>
      </c>
      <c r="R29" s="18">
        <f>iferror(if(P29="",G29,P29)*Q29,"")</f>
        <v>0</v>
      </c>
      <c r="S29" s="19" t="s">
        <v>132</v>
      </c>
      <c r="T29" s="20" t="s">
        <v>121</v>
      </c>
      <c r="V29" s="18">
        <f>iferror(USD_GBP*lookup(if(U29="",G29,U29),{0,1,10000},{0.0,0.0072,0.0072}),"")</f>
        <v>0</v>
      </c>
      <c r="W29" s="18">
        <f>iferror(if(U29="",G29,U29)*V29,"")</f>
        <v>0</v>
      </c>
      <c r="X29" s="19" t="s">
        <v>145</v>
      </c>
      <c r="AI29" s="20" t="s">
        <v>121</v>
      </c>
      <c r="AK29" s="18">
        <f>iferror(lookup(if(AJ29="",G29,AJ29),{0,1,10000,20000},{0.0,0.021,0.021,0.011}),"")</f>
        <v>0</v>
      </c>
      <c r="AL29" s="18">
        <f>iferror(if(AJ29="",G29,AJ29)*AK29,"")</f>
        <v>0</v>
      </c>
      <c r="AM29" s="19" t="s">
        <v>176</v>
      </c>
    </row>
    <row r="30" spans="1:49">
      <c r="A30" s="17" t="s">
        <v>85</v>
      </c>
      <c r="B30" s="17" t="s">
        <v>86</v>
      </c>
      <c r="D30" s="17" t="s">
        <v>64</v>
      </c>
      <c r="F30" s="17" t="s">
        <v>87</v>
      </c>
      <c r="G30" s="17">
        <f>BoardQty*7</f>
        <v>0</v>
      </c>
      <c r="H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0" s="18">
        <f>iferror(G30*H30,"")</f>
        <v>0</v>
      </c>
    </row>
    <row r="31" spans="1:49">
      <c r="A31" s="17" t="s">
        <v>88</v>
      </c>
      <c r="B31" s="17" t="s">
        <v>89</v>
      </c>
      <c r="D31" s="17" t="s">
        <v>64</v>
      </c>
      <c r="F31" s="17" t="s">
        <v>90</v>
      </c>
      <c r="G31" s="17">
        <f>BoardQty*1</f>
        <v>0</v>
      </c>
      <c r="H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1" s="18">
        <f>iferror(G31*H31,"")</f>
        <v>0</v>
      </c>
      <c r="O31" s="17">
        <v>6097</v>
      </c>
      <c r="Q31" s="18">
        <f>iferror(lookup(if(P31="",G31,P31),{0,1,10,25,50,100,250,500,1000,2500,5000,10000,15000,25000,50000},{0.0,0.1,0.041,0.0384,0.0284,0.0244,0.02356,0.02032,0.01829,0.01626,0.01545,0.01464,0.01423,0.01301,0.01179}),"")</f>
        <v>0</v>
      </c>
      <c r="R31" s="18">
        <f>iferror(if(P31="",G31,P31)*Q31,"")</f>
        <v>0</v>
      </c>
      <c r="S31" s="19" t="s">
        <v>133</v>
      </c>
      <c r="T31" s="20" t="s">
        <v>121</v>
      </c>
      <c r="V31" s="18">
        <f>iferror(USD_GBP*lookup(if(U31="",G31,U31),{0,1,10,100,150,500,1000,2500,5000,25000},{0.0,0.0271,0.0271,0.0194,0.0194,0.0162,0.0135,0.0113,0.01,0.0078}),"")</f>
        <v>0</v>
      </c>
      <c r="W31" s="18">
        <f>iferror(if(U31="",G31,U31)*V31,"")</f>
        <v>0</v>
      </c>
      <c r="X31" s="19" t="s">
        <v>146</v>
      </c>
      <c r="AD31" s="17">
        <v>109</v>
      </c>
      <c r="AF31" s="18">
        <f>iferror(lookup(if(AE31="",G31,AE31),{0,1,10,50,100,1000,10000},{0.0,0.17,0.115,0.115,0.045,0.02,0.012}),"")</f>
        <v>0</v>
      </c>
      <c r="AG31" s="18">
        <f>iferror(if(AE31="",G31,AE31)*AF31,"")</f>
        <v>0</v>
      </c>
      <c r="AH31" s="19" t="s">
        <v>163</v>
      </c>
      <c r="AI31" s="20" t="s">
        <v>121</v>
      </c>
      <c r="AK31" s="18">
        <f>iferror(lookup(if(AJ31="",G31,AJ31),{0,1,5000,50000,100000,250000},{0.0,0.013,0.01,0.009,0.008,0.008}),"")</f>
        <v>0</v>
      </c>
      <c r="AL31" s="18">
        <f>iferror(if(AJ31="",G31,AJ31)*AK31,"")</f>
        <v>0</v>
      </c>
      <c r="AM31" s="19" t="s">
        <v>177</v>
      </c>
    </row>
    <row r="32" spans="1:49">
      <c r="A32" s="17" t="s">
        <v>91</v>
      </c>
      <c r="B32" s="17" t="s">
        <v>92</v>
      </c>
      <c r="D32" s="17" t="s">
        <v>64</v>
      </c>
      <c r="F32" s="17" t="s">
        <v>93</v>
      </c>
      <c r="G32" s="17">
        <f>BoardQty*1</f>
        <v>0</v>
      </c>
      <c r="H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2" s="18">
        <f>iferror(G32*H32,"")</f>
        <v>0</v>
      </c>
      <c r="O32" s="17">
        <v>236</v>
      </c>
      <c r="Q32" s="18">
        <f>iferror(lookup(if(P32="",G32,P32),{0,1,10,100,1000,2500,5000},{0.0,0.1,0.036,0.0146,0.00655,0.00569,0.0047}),"")</f>
        <v>0</v>
      </c>
      <c r="R32" s="18">
        <f>iferror(if(P32="",G32,P32)*Q32,"")</f>
        <v>0</v>
      </c>
      <c r="S32" s="19" t="s">
        <v>134</v>
      </c>
    </row>
    <row r="33" spans="1:48">
      <c r="A33" s="17" t="s">
        <v>94</v>
      </c>
      <c r="B33" s="17" t="s">
        <v>95</v>
      </c>
      <c r="D33" s="17" t="s">
        <v>96</v>
      </c>
      <c r="F33" s="17" t="s">
        <v>95</v>
      </c>
      <c r="G33" s="17">
        <f>BoardQty*1</f>
        <v>0</v>
      </c>
      <c r="H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3" s="18">
        <f>iferror(G33*H33,"")</f>
        <v>0</v>
      </c>
      <c r="O33" s="17">
        <v>48</v>
      </c>
      <c r="Q33" s="18">
        <f>iferror(lookup(if(P33="",G33,P33),{0,1,10,25,50,100,250,500,1000},{0.0,7.41,6.671,6.3356,6.0674,5.8663,5.56464,5.09532,4.86068}),"")</f>
        <v>0</v>
      </c>
      <c r="R33" s="18">
        <f>iferror(if(P33="",G33,P33)*Q33,"")</f>
        <v>0</v>
      </c>
      <c r="S33" s="19" t="s">
        <v>135</v>
      </c>
      <c r="T33" s="20" t="s">
        <v>121</v>
      </c>
      <c r="V33" s="18">
        <f>iferror(USD_GBP*lookup(if(U33="",G33,U33),{0,1,5,10,25,50,100},{0.0,5.62,5.35,5.06,4.81,4.61,4.46}),"")</f>
        <v>0</v>
      </c>
      <c r="W33" s="18">
        <f>iferror(if(U33="",G33,U33)*V33,"")</f>
        <v>0</v>
      </c>
      <c r="X33" s="19" t="s">
        <v>147</v>
      </c>
      <c r="AD33" s="20" t="s">
        <v>121</v>
      </c>
      <c r="AF33" s="18">
        <f>iferror(lookup(if(AE33="",G33,AE33),{0,1,10,50,100,1000,10000},{0.0,7.28,6.63,6.13,5.97,4.81,4.81}),"")</f>
        <v>0</v>
      </c>
      <c r="AG33" s="18">
        <f>iferror(if(AE33="",G33,AE33)*AF33,"")</f>
        <v>0</v>
      </c>
      <c r="AH33" s="19" t="s">
        <v>164</v>
      </c>
      <c r="AI33" s="20" t="s">
        <v>121</v>
      </c>
      <c r="AK33" s="18">
        <f>iferror(lookup(if(AJ33="",G33,AJ33),{0,1,5,10,25,50,100},{0.0,6.79,6.46,6.12,5.81,5.57,5.4}),"")</f>
        <v>0</v>
      </c>
      <c r="AL33" s="18">
        <f>iferror(if(AJ33="",G33,AJ33)*AK33,"")</f>
        <v>0</v>
      </c>
      <c r="AM33" s="19" t="s">
        <v>178</v>
      </c>
    </row>
    <row r="34" spans="1:48">
      <c r="A34" s="17" t="s">
        <v>97</v>
      </c>
      <c r="B34" s="17" t="s">
        <v>98</v>
      </c>
      <c r="G34" s="17">
        <f>BoardQty*2</f>
        <v>0</v>
      </c>
      <c r="H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I34" s="18">
        <f>iferror(G34*H34,"")</f>
        <v>0</v>
      </c>
    </row>
    <row r="36" spans="1:48">
      <c r="B36" s="21" t="s">
        <v>101</v>
      </c>
      <c r="H36" s="1" t="s">
        <v>99</v>
      </c>
      <c r="I36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36" s="6">
        <f>IFERROR(IF(OR(K7:K34),COUNTIFS(K7:K34,"&gt;0",M7:M34,"&lt;&gt;")&amp;" of "&amp;(ROWS(M7:M34)-COUNTBLANK(M7:M34))&amp;" parts purchased",""),"")</f>
        <v>0</v>
      </c>
      <c r="M36" s="5">
        <f>SUMIF(K7:K34,"&gt;0",M7:M34)</f>
        <v>0</v>
      </c>
      <c r="P36" s="6">
        <f>IFERROR(IF(OR(P7:P34),COUNTIFS(P7:P34,"&gt;0",R7:R34,"&lt;&gt;")&amp;" of "&amp;(ROWS(R7:R34)-COUNTBLANK(R7:R34))&amp;" parts purchased",""),"")</f>
        <v>0</v>
      </c>
      <c r="R36" s="5">
        <f>SUMIF(P7:P34,"&gt;0",R7:R34)</f>
        <v>0</v>
      </c>
      <c r="U36" s="6">
        <f>IFERROR(IF(OR(U7:U34),COUNTIFS(U7:U34,"&gt;0",W7:W34,"&lt;&gt;")&amp;" of "&amp;(ROWS(W7:W34)-COUNTBLANK(W7:W34))&amp;" parts purchased",""),"")</f>
        <v>0</v>
      </c>
      <c r="W36" s="5">
        <f>SUMIF(U7:U34,"&gt;0",W7:W34)</f>
        <v>0</v>
      </c>
      <c r="Z36" s="6">
        <f>IFERROR(IF(OR(Z7:Z34),COUNTIFS(Z7:Z34,"&gt;0",AB7:AB34,"&lt;&gt;")&amp;" of "&amp;(ROWS(AB7:AB34)-COUNTBLANK(AB7:AB34))&amp;" parts purchased",""),"")</f>
        <v>0</v>
      </c>
      <c r="AB36" s="5">
        <f>SUMIF(Z7:Z34,"&gt;0",AB7:AB34)</f>
        <v>0</v>
      </c>
      <c r="AE36" s="6">
        <f>IFERROR(IF(OR(AE7:AE34),COUNTIFS(AE7:AE34,"&gt;0",AG7:AG34,"&lt;&gt;")&amp;" of "&amp;(ROWS(AG7:AG34)-COUNTBLANK(AG7:AG34))&amp;" parts purchased",""),"")</f>
        <v>0</v>
      </c>
      <c r="AG36" s="5">
        <f>SUMIF(AE7:AE34,"&gt;0",AG7:AG34)</f>
        <v>0</v>
      </c>
      <c r="AJ36" s="6">
        <f>IFERROR(IF(OR(AJ7:AJ34),COUNTIFS(AJ7:AJ34,"&gt;0",AL7:AL34,"&lt;&gt;")&amp;" of "&amp;(ROWS(AL7:AL34)-COUNTBLANK(AL7:AL34))&amp;" parts purchased",""),"")</f>
        <v>0</v>
      </c>
      <c r="AL36" s="5">
        <f>SUMIF(AJ7:AJ34,"&gt;0",AL7:AL34)</f>
        <v>0</v>
      </c>
      <c r="AO36" s="6">
        <f>IFERROR(IF(OR(AO7:AO34),COUNTIFS(AO7:AO34,"&gt;0",AQ7:AQ34,"&lt;&gt;")&amp;" of "&amp;(ROWS(AQ7:AQ34)-COUNTBLANK(AQ7:AQ34))&amp;" parts purchased",""),"")</f>
        <v>0</v>
      </c>
      <c r="AQ36" s="5">
        <f>SUMIF(AO7:AO34,"&gt;0",AQ7:AQ34)</f>
        <v>0</v>
      </c>
      <c r="AT36" s="6">
        <f>IFERROR(IF(OR(AT7:AT34),COUNTIFS(AT7:AT34,"&gt;0",AV7:AV34,"&lt;&gt;")&amp;" of "&amp;(ROWS(AV7:AV34)-COUNTBLANK(AV7:AV34))&amp;" parts purchased",""),"")</f>
        <v>0</v>
      </c>
      <c r="AV36" s="5">
        <f>SUMIF(AT7:AT34,"&gt;0",AV7:AV34)</f>
        <v>0</v>
      </c>
    </row>
    <row r="37" spans="1:48">
      <c r="B37" s="21" t="s">
        <v>102</v>
      </c>
      <c r="C37">
        <v>1.37471948652954</v>
      </c>
      <c r="H37" s="21" t="s">
        <v>100</v>
      </c>
      <c r="K37">
        <f t="array" ref="K37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37">
        <f t="array" ref="P37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37">
        <f t="array" ref="U37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37" s="6">
        <f>IFERROR(IF(COUNTIFS(Z7:Z34,"&gt;0",AB7:AB34,"&lt;&gt;")&gt;0,"Quantity,Comment,Designator,Footprint,LCSC Part #(optional)",""),"")</f>
        <v>0</v>
      </c>
      <c r="AE37">
        <f t="array" ref="AE37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37">
        <f t="array" ref="AJ37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37">
        <f t="array" ref="AO37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37">
        <f t="array" ref="AT37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38" spans="1:48">
      <c r="K38">
        <f t="array" ref="K38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38">
        <f t="array" ref="P38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38">
        <f t="array" ref="U38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38">
        <f t="array" ref="Z38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38">
        <f t="array" ref="AE38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38">
        <f t="array" ref="AJ38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38">
        <f t="array" ref="AO38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38">
        <f t="array" ref="AT38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39" spans="1:48">
      <c r="A39" s="2" t="s">
        <v>183</v>
      </c>
      <c r="K39">
        <f t="array" ref="K39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39">
        <f t="array" ref="P39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39">
        <f t="array" ref="U39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39">
        <f t="array" ref="Z39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39">
        <f t="array" ref="AE39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39">
        <f t="array" ref="AJ39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39">
        <f t="array" ref="AO39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39">
        <f t="array" ref="AT39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40" spans="1:48">
      <c r="K40">
        <f t="array" ref="K40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40">
        <f t="array" ref="P40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40">
        <f t="array" ref="U40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40">
        <f t="array" ref="Z40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40">
        <f t="array" ref="AE40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40">
        <f t="array" ref="AJ40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40">
        <f t="array" ref="AO40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40">
        <f t="array" ref="AT40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41" spans="1:48">
      <c r="K41">
        <f t="array" ref="K41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41">
        <f t="array" ref="P41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41">
        <f t="array" ref="U41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41">
        <f t="array" ref="Z41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41">
        <f t="array" ref="AE41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41">
        <f t="array" ref="AJ41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41">
        <f t="array" ref="AO41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41">
        <f t="array" ref="AT41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42" spans="1:48">
      <c r="K42">
        <f t="array" ref="K42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42">
        <f t="array" ref="P42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42">
        <f t="array" ref="U42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42">
        <f t="array" ref="Z42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42">
        <f t="array" ref="AE42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42">
        <f t="array" ref="AJ42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42">
        <f t="array" ref="AO42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42">
        <f t="array" ref="AT42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43" spans="1:48">
      <c r="K43">
        <f t="array" ref="K43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43">
        <f t="array" ref="P43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43">
        <f t="array" ref="U43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43">
        <f t="array" ref="Z43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43">
        <f t="array" ref="AE43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43">
        <f t="array" ref="AJ43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43">
        <f t="array" ref="AO43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43">
        <f t="array" ref="AT43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44" spans="1:48">
      <c r="K44">
        <f t="array" ref="K44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44">
        <f t="array" ref="P44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44">
        <f t="array" ref="U44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44">
        <f t="array" ref="Z44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44">
        <f t="array" ref="AE44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44">
        <f t="array" ref="AJ44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44">
        <f t="array" ref="AO44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44">
        <f t="array" ref="AT44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45" spans="1:48">
      <c r="K45">
        <f t="array" ref="K45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45">
        <f t="array" ref="P45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45">
        <f t="array" ref="U45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45">
        <f t="array" ref="Z45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45">
        <f t="array" ref="AE45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45">
        <f t="array" ref="AJ45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45">
        <f t="array" ref="AO45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45">
        <f t="array" ref="AT45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46" spans="1:48">
      <c r="K46">
        <f t="array" ref="K46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46">
        <f t="array" ref="P46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46">
        <f t="array" ref="U46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46">
        <f t="array" ref="Z46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46">
        <f t="array" ref="AE46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46">
        <f t="array" ref="AJ46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46">
        <f t="array" ref="AO46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46">
        <f t="array" ref="AT46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47" spans="1:48">
      <c r="K47">
        <f t="array" ref="K47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47">
        <f t="array" ref="P47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47">
        <f t="array" ref="U47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47">
        <f t="array" ref="Z47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47">
        <f t="array" ref="AE47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47">
        <f t="array" ref="AJ47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47">
        <f t="array" ref="AO47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47">
        <f t="array" ref="AT47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48" spans="1:48">
      <c r="K48">
        <f t="array" ref="K48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48">
        <f t="array" ref="P48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48">
        <f t="array" ref="U48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48">
        <f t="array" ref="Z48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48">
        <f t="array" ref="AE48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48">
        <f t="array" ref="AJ48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48">
        <f t="array" ref="AO48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48">
        <f t="array" ref="AT48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49" spans="11:46">
      <c r="K49">
        <f t="array" ref="K49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49">
        <f t="array" ref="P49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49">
        <f t="array" ref="U49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49">
        <f t="array" ref="Z49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49">
        <f t="array" ref="AE49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49">
        <f t="array" ref="AJ49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49">
        <f t="array" ref="AO49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49">
        <f t="array" ref="AT49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50" spans="11:46">
      <c r="K50">
        <f t="array" ref="K50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50">
        <f t="array" ref="P50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50">
        <f t="array" ref="U50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50">
        <f t="array" ref="Z50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50">
        <f t="array" ref="AE50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50">
        <f t="array" ref="AJ50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50">
        <f t="array" ref="AO50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50">
        <f t="array" ref="AT50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51" spans="11:46">
      <c r="K51">
        <f t="array" ref="K51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51">
        <f t="array" ref="P51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51">
        <f t="array" ref="U51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51">
        <f t="array" ref="Z51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51">
        <f t="array" ref="AE51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51">
        <f t="array" ref="AJ51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51">
        <f t="array" ref="AO51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51">
        <f t="array" ref="AT51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52" spans="11:46">
      <c r="K52">
        <f t="array" ref="K52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52">
        <f t="array" ref="P52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52">
        <f t="array" ref="U52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52">
        <f t="array" ref="Z52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52">
        <f t="array" ref="AE52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52">
        <f t="array" ref="AJ52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52">
        <f t="array" ref="AO52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52">
        <f t="array" ref="AT52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53" spans="11:46">
      <c r="K53">
        <f t="array" ref="K53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53">
        <f t="array" ref="P53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53">
        <f t="array" ref="U53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53">
        <f t="array" ref="Z53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53">
        <f t="array" ref="AE53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53">
        <f t="array" ref="AJ53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53">
        <f t="array" ref="AO53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53">
        <f t="array" ref="AT53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54" spans="11:46">
      <c r="K54">
        <f t="array" ref="K54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54">
        <f t="array" ref="P54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54">
        <f t="array" ref="U54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54">
        <f t="array" ref="Z54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54">
        <f t="array" ref="AE54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54">
        <f t="array" ref="AJ54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54">
        <f t="array" ref="AO54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54">
        <f t="array" ref="AT54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55" spans="11:46">
      <c r="K55">
        <f t="array" ref="K55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55">
        <f t="array" ref="P55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55">
        <f t="array" ref="U55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55">
        <f t="array" ref="Z55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55">
        <f t="array" ref="AE55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55">
        <f t="array" ref="AJ55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55">
        <f t="array" ref="AO55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55">
        <f t="array" ref="AT55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56" spans="11:46">
      <c r="K56">
        <f t="array" ref="K56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56">
        <f t="array" ref="P56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56">
        <f t="array" ref="U56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56">
        <f t="array" ref="Z56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56">
        <f t="array" ref="AE56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56">
        <f t="array" ref="AJ56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56">
        <f t="array" ref="AO56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56">
        <f t="array" ref="AT56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57" spans="11:46">
      <c r="K57">
        <f t="array" ref="K57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57">
        <f t="array" ref="P57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57">
        <f t="array" ref="U57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57">
        <f t="array" ref="Z57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57">
        <f t="array" ref="AE57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57">
        <f t="array" ref="AJ57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57">
        <f t="array" ref="AO57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57">
        <f t="array" ref="AT57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58" spans="11:46">
      <c r="K58">
        <f t="array" ref="K58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58">
        <f t="array" ref="P58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58">
        <f t="array" ref="U58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58">
        <f t="array" ref="Z58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58">
        <f t="array" ref="AE58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58">
        <f t="array" ref="AJ58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58">
        <f t="array" ref="AO58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58">
        <f t="array" ref="AT58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59" spans="11:46">
      <c r="K59">
        <f t="array" ref="K59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59">
        <f t="array" ref="P59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59">
        <f t="array" ref="U59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59">
        <f t="array" ref="Z59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59">
        <f t="array" ref="AE59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59">
        <f t="array" ref="AJ59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59">
        <f t="array" ref="AO59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59">
        <f t="array" ref="AT59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60" spans="11:46">
      <c r="K60">
        <f t="array" ref="K60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60">
        <f t="array" ref="P60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60">
        <f t="array" ref="U60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60">
        <f t="array" ref="Z60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60">
        <f t="array" ref="AE60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60">
        <f t="array" ref="AJ60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60">
        <f t="array" ref="AO60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60">
        <f t="array" ref="AT60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61" spans="11:46">
      <c r="K61">
        <f t="array" ref="K61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61">
        <f t="array" ref="P61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61">
        <f t="array" ref="U61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61">
        <f t="array" ref="Z61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61">
        <f t="array" ref="AE61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61">
        <f t="array" ref="AJ61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61">
        <f t="array" ref="AO61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61">
        <f t="array" ref="AT61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62" spans="11:46">
      <c r="K62">
        <f t="array" ref="K62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62">
        <f t="array" ref="P62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62">
        <f t="array" ref="U62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62">
        <f t="array" ref="Z62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62">
        <f t="array" ref="AE62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62">
        <f t="array" ref="AJ62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62">
        <f t="array" ref="AO62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62">
        <f t="array" ref="AT62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63" spans="11:46">
      <c r="K63">
        <f t="array" ref="K63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63">
        <f t="array" ref="P63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63">
        <f t="array" ref="U63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63">
        <f t="array" ref="Z63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63">
        <f t="array" ref="AE63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63">
        <f t="array" ref="AJ63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63">
        <f t="array" ref="AO63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63">
        <f t="array" ref="AT63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64" spans="11:46">
      <c r="K64">
        <f t="array" ref="K64">IFERROR(CONCATENATE(INDEX(N7:N34,SMALL(IF(ISNUMBER(K7:K34),IF(K7:K34&gt;0,IF(N7:N34&lt;&gt;"",ROW(K7:K34)-MIN(ROW(K7:K34))+1))),ROW()-ROW(A$37)+1)),",",TEXT(INDEX(K7:K34,SMALL(IF(ISNUMBER(K7:K34),IF(K7:K34&gt;0,IF(N7:N34&lt;&gt;"",ROW(K7:K34)-MIN(ROW(K7:K34))+1))),ROW()-ROW(A$37)+1)),"##0"),",",SUBSTITUTE(INDEX(IF(PURCHASE_DESCRIPTION&lt;&gt;"",PURCHASE_DESCRIPTION&amp;":","")&amp;A7:A34,SMALL(IF(ISNUMBER(K7:K34),IF(K7:K34&gt;0,IF(N7:N34&lt;&gt;"",ROW(K7:K34)-MIN(ROW(K7:K34))+1))),ROW()-ROW(A$37)+1)),",",";")),"")</f>
        <v>0</v>
      </c>
      <c r="P64">
        <f t="array" ref="P64">IFERROR(CONCATENATE(TEXT(INDEX(P7:P34,SMALL(IF(ISNUMBER(P7:P34),IF(P7:P34&gt;0,IF(S7:S34&lt;&gt;"",ROW(P7:P34)-MIN(ROW(P7:P34))+1))),ROW()-ROW(A$37)+1)),"##0"),",",INDEX(S7:S34,SMALL(IF(ISNUMBER(P7:P34),IF(P7:P34&gt;0,IF(S7:S34&lt;&gt;"",ROW(P7:P34)-MIN(ROW(P7:P34))+1))),ROW()-ROW(A$37)+1)),",",SUBSTITUTE(INDEX(IF(PURCHASE_DESCRIPTION&lt;&gt;"",PURCHASE_DESCRIPTION&amp;":","")&amp;A7:A34,SMALL(IF(ISNUMBER(P7:P34),IF(P7:P34&gt;0,IF(S7:S34&lt;&gt;"",ROW(P7:P34)-MIN(ROW(P7:P34))+1))),ROW()-ROW(A$37)+1)),",",";")),"")</f>
        <v>0</v>
      </c>
      <c r="U64">
        <f t="array" ref="U64">IFERROR(CONCATENATE(INDEX(X7:X34,SMALL(IF(ISNUMBER(U7:U34),IF(U7:U34&gt;0,IF(X7:X34&lt;&gt;"",ROW(U7:U34)-MIN(ROW(U7:U34))+1))),ROW()-ROW(A$37)+1))," ",TEXT(INDEX(U7:U34,SMALL(IF(ISNUMBER(U7:U34),IF(U7:U34&gt;0,IF(X7:X34&lt;&gt;"",ROW(U7:U34)-MIN(ROW(U7:U34))+1))),ROW()-ROW(A$37)+1)),"##0")," ",SUBSTITUTE(INDEX(IF(PURCHASE_DESCRIPTION&lt;&gt;"",PURCHASE_DESCRIPTION&amp;":","")&amp;A7:A34,SMALL(IF(ISNUMBER(U7:U34),IF(U7:U34&gt;0,IF(X7:X34&lt;&gt;"",ROW(U7:U34)-MIN(ROW(U7:U34))+1))),ROW()-ROW(A$37)+1))," ",";")),"")</f>
        <v>0</v>
      </c>
      <c r="Z64">
        <f t="array" ref="Z64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  <c r="AE64">
        <f t="array" ref="AE64">IFERROR(CONCATENATE(INDEX(AH7:AH34,SMALL(IF(ISNUMBER(AE7:AE34),IF(AE7:AE34&gt;0,IF(AH7:AH34&lt;&gt;"",ROW(AE7:AE34)-MIN(ROW(AE7:AE34))+1))),ROW()-ROW(A$37)+1)),"|",TEXT(INDEX(AE7:AE34,SMALL(IF(ISNUMBER(AE7:AE34),IF(AE7:AE34&gt;0,IF(AH7:AH34&lt;&gt;"",ROW(AE7:AE34)-MIN(ROW(AE7:AE34))+1))),ROW()-ROW(A$37)+1)),"##0"),"|",SUBSTITUTE(SUBSTITUTE(INDEX(IF(PURCHASE_DESCRIPTION&lt;&gt;"",PURCHASE_DESCRIPTION&amp;":","")&amp;A7:A34,SMALL(IF(ISNUMBER(AE7:AE34),IF(AE7:AE34&gt;0,IF(AH7:AH34&lt;&gt;"",ROW(AE7:AE34)-MIN(ROW(AE7:AE34))+1))),ROW()-ROW(A$37)+1)),"|",";")," ","_")),"")</f>
        <v>0</v>
      </c>
      <c r="AJ64">
        <f t="array" ref="AJ64">IFERROR(CONCATENATE(INDEX(AM7:AM34,SMALL(IF(ISNUMBER(AJ7:AJ34),IF(AJ7:AJ34&gt;0,IF(AM7:AM34&lt;&gt;"",ROW(AJ7:AJ34)-MIN(ROW(AJ7:AJ34))+1))),ROW()-ROW(A$37)+1)),",",TEXT(INDEX(AJ7:AJ34,SMALL(IF(ISNUMBER(AJ7:AJ34),IF(AJ7:AJ34&gt;0,IF(AM7:AM34&lt;&gt;"",ROW(AJ7:AJ34)-MIN(ROW(AJ7:AJ34))+1))),ROW()-ROW(A$37)+1)),"##0"),",",SUBSTITUTE(INDEX(IF(PURCHASE_DESCRIPTION&lt;&gt;"",PURCHASE_DESCRIPTION&amp;":","")&amp;A7:A34,SMALL(IF(ISNUMBER(AJ7:AJ34),IF(AJ7:AJ34&gt;0,IF(AM7:AM34&lt;&gt;"",ROW(AJ7:AJ34)-MIN(ROW(AJ7:AJ34))+1))),ROW()-ROW(A$37)+1)),",",";")),"")</f>
        <v>0</v>
      </c>
      <c r="AO64">
        <f t="array" ref="AO64">IFERROR(CONCATENATE(INDEX(AR7:AR34,SMALL(IF(ISNUMBER(AO7:AO34),IF(AO7:AO34&gt;0,IF(AR7:AR34&lt;&gt;"",ROW(AO7:AO34)-MIN(ROW(AO7:AO34))+1))),ROW()-ROW(A$37)+1))," ",TEXT(INDEX(AO7:AO34,SMALL(IF(ISNUMBER(AO7:AO34),IF(AO7:AO34&gt;0,IF(AR7:AR34&lt;&gt;"",ROW(AO7:AO34)-MIN(ROW(AO7:AO34))+1))),ROW()-ROW(A$37)+1)),"##0")," ",SUBSTITUTE(INDEX(IF(PURCHASE_DESCRIPTION&lt;&gt;"",PURCHASE_DESCRIPTION&amp;":","")&amp;A7:A34,SMALL(IF(ISNUMBER(AO7:AO34),IF(AO7:AO34&gt;0,IF(AR7:AR34&lt;&gt;"",ROW(AO7:AO34)-MIN(ROW(AO7:AO34))+1))),ROW()-ROW(A$37)+1))," ",";")),"")</f>
        <v>0</v>
      </c>
      <c r="AT64">
        <f t="array" ref="AT64">IFERROR(CONCATENATE(INDEX(AW7:AW34,SMALL(IF(ISNUMBER(AT7:AT34),IF(AT7:AT34&gt;0,IF(AW7:AW34&lt;&gt;"",ROW(AT7:AT34)-MIN(ROW(AT7:AT34))+1))),ROW()-ROW(A$37)+1))," ",TEXT(INDEX(AT7:AT34,SMALL(IF(ISNUMBER(AT7:AT34),IF(AT7:AT34&gt;0,IF(AW7:AW34&lt;&gt;"",ROW(AT7:AT34)-MIN(ROW(AT7:AT34))+1))),ROW()-ROW(A$37)+1)),"##0")," ",SUBSTITUTE(INDEX(IF(PURCHASE_DESCRIPTION&lt;&gt;"",PURCHASE_DESCRIPTION&amp;":","")&amp;A7:A34,SMALL(IF(ISNUMBER(AT7:AT34),IF(AT7:AT34&gt;0,IF(AW7:AW34&lt;&gt;"",ROW(AT7:AT34)-MIN(ROW(AT7:AT34))+1))),ROW()-ROW(A$37)+1))," ",";")),"")</f>
        <v>0</v>
      </c>
    </row>
    <row r="65" spans="26:26">
      <c r="Z65">
        <f t="array" ref="Z65">IFERROR(CONCATENATE(TEXT(INDEX(Z7:Z34,SMALL(IF(ISNUMBER(Z7:Z34),IF(Z7:Z34&gt;0,IF(AC7:AC34&lt;&gt;"",ROW(Z7:Z34)-MIN(ROW(Z7:Z34))+1))),ROW()-ROW(A$38)+1)),"##0"),",",SUBSTITUTE(INDEX(IF(PURCHASE_DESCRIPTION&lt;&gt;"",PURCHASE_DESCRIPTION&amp;":","")&amp;A7:A34,SMALL(IF(ISNUMBER(Z7:Z34),IF(Z7:Z34&gt;0,IF(AC7:AC34&lt;&gt;"",ROW(Z7:Z34)-MIN(ROW(Z7:Z34))+1))),ROW()-ROW(A$38)+1)),",",";"),",",SUBSTITUTE(INDEX(IF(PURCHASE_DESCRIPTION&lt;&gt;"",PURCHASE_DESCRIPTION&amp;":","")&amp;D7:D34,SMALL(IF(ISNUMBER(Z7:Z34),IF(Z7:Z34&gt;0,IF(AC7:AC34&lt;&gt;"",ROW(Z7:Z34)-MIN(ROW(Z7:Z34))+1))),ROW()-ROW(A$38)+1)),",",";"),",",INDEX(AC7:AC34,SMALL(IF(ISNUMBER(Z7:Z34),IF(Z7:Z34&gt;0,IF(AC7:AC34&lt;&gt;"",ROW(Z7:Z34)-MIN(ROW(Z7:Z34))+1))),ROW()-ROW(A$38)+1))),"")</f>
        <v>0</v>
      </c>
    </row>
  </sheetData>
  <mergeCells count="9">
    <mergeCell ref="A5:I5"/>
    <mergeCell ref="J5:N5"/>
    <mergeCell ref="O5:S5"/>
    <mergeCell ref="T5:X5"/>
    <mergeCell ref="Y5:AC5"/>
    <mergeCell ref="AD5:AH5"/>
    <mergeCell ref="AI5:AM5"/>
    <mergeCell ref="AN5:AR5"/>
    <mergeCell ref="AS5:AW5"/>
  </mergeCells>
  <conditionalFormatting sqref="AA14">
    <cfRule type="cellIs" dxfId="4" priority="268" operator="lessThanOrEqual">
      <formula>H14</formula>
    </cfRule>
  </conditionalFormatting>
  <conditionalFormatting sqref="AB14">
    <cfRule type="cellIs" dxfId="4" priority="267" operator="lessThanOrEqual">
      <formula>I14</formula>
    </cfRule>
  </conditionalFormatting>
  <conditionalFormatting sqref="AD10">
    <cfRule type="cellIs" dxfId="1" priority="279" operator="equal">
      <formula>0</formula>
    </cfRule>
    <cfRule type="cellIs" dxfId="2" priority="280" operator="lessThan">
      <formula>G10</formula>
    </cfRule>
  </conditionalFormatting>
  <conditionalFormatting sqref="AD12">
    <cfRule type="cellIs" dxfId="1" priority="284" operator="equal">
      <formula>0</formula>
    </cfRule>
    <cfRule type="cellIs" dxfId="2" priority="285" operator="lessThan">
      <formula>G12</formula>
    </cfRule>
  </conditionalFormatting>
  <conditionalFormatting sqref="AD13">
    <cfRule type="cellIs" dxfId="1" priority="289" operator="equal">
      <formula>0</formula>
    </cfRule>
    <cfRule type="cellIs" dxfId="2" priority="290" operator="lessThan">
      <formula>G13</formula>
    </cfRule>
  </conditionalFormatting>
  <conditionalFormatting sqref="AD14">
    <cfRule type="cellIs" dxfId="1" priority="294" operator="equal">
      <formula>0</formula>
    </cfRule>
    <cfRule type="cellIs" dxfId="2" priority="295" operator="lessThan">
      <formula>G14</formula>
    </cfRule>
  </conditionalFormatting>
  <conditionalFormatting sqref="AD15">
    <cfRule type="cellIs" dxfId="1" priority="299" operator="equal">
      <formula>0</formula>
    </cfRule>
    <cfRule type="cellIs" dxfId="2" priority="300" operator="lessThan">
      <formula>G15</formula>
    </cfRule>
  </conditionalFormatting>
  <conditionalFormatting sqref="AD16">
    <cfRule type="cellIs" dxfId="1" priority="304" operator="equal">
      <formula>0</formula>
    </cfRule>
    <cfRule type="cellIs" dxfId="2" priority="305" operator="lessThan">
      <formula>G16</formula>
    </cfRule>
  </conditionalFormatting>
  <conditionalFormatting sqref="AD18">
    <cfRule type="cellIs" dxfId="1" priority="309" operator="equal">
      <formula>0</formula>
    </cfRule>
    <cfRule type="cellIs" dxfId="2" priority="310" operator="lessThan">
      <formula>G18</formula>
    </cfRule>
  </conditionalFormatting>
  <conditionalFormatting sqref="AD22">
    <cfRule type="cellIs" dxfId="1" priority="314" operator="equal">
      <formula>0</formula>
    </cfRule>
    <cfRule type="cellIs" dxfId="2" priority="315" operator="lessThan">
      <formula>G22</formula>
    </cfRule>
  </conditionalFormatting>
  <conditionalFormatting sqref="AD23">
    <cfRule type="cellIs" dxfId="1" priority="319" operator="equal">
      <formula>0</formula>
    </cfRule>
    <cfRule type="cellIs" dxfId="2" priority="320" operator="lessThan">
      <formula>G23</formula>
    </cfRule>
  </conditionalFormatting>
  <conditionalFormatting sqref="AD24">
    <cfRule type="cellIs" dxfId="1" priority="324" operator="equal">
      <formula>0</formula>
    </cfRule>
    <cfRule type="cellIs" dxfId="2" priority="325" operator="lessThan">
      <formula>G24</formula>
    </cfRule>
  </conditionalFormatting>
  <conditionalFormatting sqref="AD31">
    <cfRule type="cellIs" dxfId="1" priority="329" operator="equal">
      <formula>0</formula>
    </cfRule>
    <cfRule type="cellIs" dxfId="2" priority="330" operator="lessThan">
      <formula>G31</formula>
    </cfRule>
  </conditionalFormatting>
  <conditionalFormatting sqref="AD33">
    <cfRule type="cellIs" dxfId="1" priority="334" operator="equal">
      <formula>0</formula>
    </cfRule>
    <cfRule type="cellIs" dxfId="2" priority="335" operator="lessThan">
      <formula>G33</formula>
    </cfRule>
  </conditionalFormatting>
  <conditionalFormatting sqref="AD8">
    <cfRule type="cellIs" dxfId="1" priority="269" operator="equal">
      <formula>0</formula>
    </cfRule>
    <cfRule type="cellIs" dxfId="2" priority="270" operator="lessThan">
      <formula>G8</formula>
    </cfRule>
  </conditionalFormatting>
  <conditionalFormatting sqref="AD9">
    <cfRule type="cellIs" dxfId="1" priority="274" operator="equal">
      <formula>0</formula>
    </cfRule>
    <cfRule type="cellIs" dxfId="2" priority="275" operator="lessThan">
      <formula>G9</formula>
    </cfRule>
  </conditionalFormatting>
  <conditionalFormatting sqref="AE10">
    <cfRule type="cellIs" dxfId="1" priority="281" operator="greaterThan">
      <formula>AD10</formula>
    </cfRule>
  </conditionalFormatting>
  <conditionalFormatting sqref="AE12">
    <cfRule type="cellIs" dxfId="1" priority="286" operator="greaterThan">
      <formula>AD12</formula>
    </cfRule>
  </conditionalFormatting>
  <conditionalFormatting sqref="AE13">
    <cfRule type="cellIs" dxfId="1" priority="291" operator="greaterThan">
      <formula>AD13</formula>
    </cfRule>
  </conditionalFormatting>
  <conditionalFormatting sqref="AE14">
    <cfRule type="cellIs" dxfId="1" priority="296" operator="greaterThan">
      <formula>AD14</formula>
    </cfRule>
  </conditionalFormatting>
  <conditionalFormatting sqref="AE15">
    <cfRule type="cellIs" dxfId="1" priority="301" operator="greaterThan">
      <formula>AD15</formula>
    </cfRule>
  </conditionalFormatting>
  <conditionalFormatting sqref="AE16">
    <cfRule type="cellIs" dxfId="1" priority="306" operator="greaterThan">
      <formula>AD16</formula>
    </cfRule>
  </conditionalFormatting>
  <conditionalFormatting sqref="AE18">
    <cfRule type="cellIs" dxfId="1" priority="311" operator="greaterThan">
      <formula>AD18</formula>
    </cfRule>
  </conditionalFormatting>
  <conditionalFormatting sqref="AE22">
    <cfRule type="cellIs" dxfId="1" priority="316" operator="greaterThan">
      <formula>AD22</formula>
    </cfRule>
  </conditionalFormatting>
  <conditionalFormatting sqref="AE23">
    <cfRule type="cellIs" dxfId="1" priority="321" operator="greaterThan">
      <formula>AD23</formula>
    </cfRule>
  </conditionalFormatting>
  <conditionalFormatting sqref="AE24">
    <cfRule type="cellIs" dxfId="1" priority="326" operator="greaterThan">
      <formula>AD24</formula>
    </cfRule>
  </conditionalFormatting>
  <conditionalFormatting sqref="AE31">
    <cfRule type="cellIs" dxfId="1" priority="331" operator="greaterThan">
      <formula>AD31</formula>
    </cfRule>
  </conditionalFormatting>
  <conditionalFormatting sqref="AE33">
    <cfRule type="cellIs" dxfId="1" priority="336" operator="greaterThan">
      <formula>AD33</formula>
    </cfRule>
  </conditionalFormatting>
  <conditionalFormatting sqref="AE8">
    <cfRule type="cellIs" dxfId="1" priority="271" operator="greaterThan">
      <formula>AD8</formula>
    </cfRule>
  </conditionalFormatting>
  <conditionalFormatting sqref="AE9">
    <cfRule type="cellIs" dxfId="1" priority="276" operator="greaterThan">
      <formula>AD9</formula>
    </cfRule>
  </conditionalFormatting>
  <conditionalFormatting sqref="AF10">
    <cfRule type="cellIs" dxfId="4" priority="283" operator="lessThanOrEqual">
      <formula>H10</formula>
    </cfRule>
  </conditionalFormatting>
  <conditionalFormatting sqref="AF12">
    <cfRule type="cellIs" dxfId="4" priority="288" operator="lessThanOrEqual">
      <formula>H12</formula>
    </cfRule>
  </conditionalFormatting>
  <conditionalFormatting sqref="AF13">
    <cfRule type="cellIs" dxfId="4" priority="293" operator="lessThanOrEqual">
      <formula>H13</formula>
    </cfRule>
  </conditionalFormatting>
  <conditionalFormatting sqref="AF14">
    <cfRule type="cellIs" dxfId="4" priority="298" operator="lessThanOrEqual">
      <formula>H14</formula>
    </cfRule>
  </conditionalFormatting>
  <conditionalFormatting sqref="AF15">
    <cfRule type="cellIs" dxfId="4" priority="303" operator="lessThanOrEqual">
      <formula>H15</formula>
    </cfRule>
  </conditionalFormatting>
  <conditionalFormatting sqref="AF16">
    <cfRule type="cellIs" dxfId="4" priority="308" operator="lessThanOrEqual">
      <formula>H16</formula>
    </cfRule>
  </conditionalFormatting>
  <conditionalFormatting sqref="AF18">
    <cfRule type="cellIs" dxfId="4" priority="313" operator="lessThanOrEqual">
      <formula>H18</formula>
    </cfRule>
  </conditionalFormatting>
  <conditionalFormatting sqref="AF22">
    <cfRule type="cellIs" dxfId="4" priority="318" operator="lessThanOrEqual">
      <formula>H22</formula>
    </cfRule>
  </conditionalFormatting>
  <conditionalFormatting sqref="AF23">
    <cfRule type="cellIs" dxfId="4" priority="323" operator="lessThanOrEqual">
      <formula>H23</formula>
    </cfRule>
  </conditionalFormatting>
  <conditionalFormatting sqref="AF24">
    <cfRule type="cellIs" dxfId="4" priority="328" operator="lessThanOrEqual">
      <formula>H24</formula>
    </cfRule>
  </conditionalFormatting>
  <conditionalFormatting sqref="AF31">
    <cfRule type="cellIs" dxfId="4" priority="333" operator="lessThanOrEqual">
      <formula>H31</formula>
    </cfRule>
  </conditionalFormatting>
  <conditionalFormatting sqref="AF33">
    <cfRule type="cellIs" dxfId="4" priority="338" operator="lessThanOrEqual">
      <formula>H33</formula>
    </cfRule>
  </conditionalFormatting>
  <conditionalFormatting sqref="AF8">
    <cfRule type="cellIs" dxfId="4" priority="273" operator="lessThanOrEqual">
      <formula>H8</formula>
    </cfRule>
  </conditionalFormatting>
  <conditionalFormatting sqref="AF9">
    <cfRule type="cellIs" dxfId="4" priority="278" operator="lessThanOrEqual">
      <formula>H9</formula>
    </cfRule>
  </conditionalFormatting>
  <conditionalFormatting sqref="AG10">
    <cfRule type="cellIs" dxfId="4" priority="282" operator="lessThanOrEqual">
      <formula>I10</formula>
    </cfRule>
  </conditionalFormatting>
  <conditionalFormatting sqref="AG12">
    <cfRule type="cellIs" dxfId="4" priority="287" operator="lessThanOrEqual">
      <formula>I12</formula>
    </cfRule>
  </conditionalFormatting>
  <conditionalFormatting sqref="AG13">
    <cfRule type="cellIs" dxfId="4" priority="292" operator="lessThanOrEqual">
      <formula>I13</formula>
    </cfRule>
  </conditionalFormatting>
  <conditionalFormatting sqref="AG14">
    <cfRule type="cellIs" dxfId="4" priority="297" operator="lessThanOrEqual">
      <formula>I14</formula>
    </cfRule>
  </conditionalFormatting>
  <conditionalFormatting sqref="AG15">
    <cfRule type="cellIs" dxfId="4" priority="302" operator="lessThanOrEqual">
      <formula>I15</formula>
    </cfRule>
  </conditionalFormatting>
  <conditionalFormatting sqref="AG16">
    <cfRule type="cellIs" dxfId="4" priority="307" operator="lessThanOrEqual">
      <formula>I16</formula>
    </cfRule>
  </conditionalFormatting>
  <conditionalFormatting sqref="AG18">
    <cfRule type="cellIs" dxfId="4" priority="312" operator="lessThanOrEqual">
      <formula>I18</formula>
    </cfRule>
  </conditionalFormatting>
  <conditionalFormatting sqref="AG22">
    <cfRule type="cellIs" dxfId="4" priority="317" operator="lessThanOrEqual">
      <formula>I22</formula>
    </cfRule>
  </conditionalFormatting>
  <conditionalFormatting sqref="AG23">
    <cfRule type="cellIs" dxfId="4" priority="322" operator="lessThanOrEqual">
      <formula>I23</formula>
    </cfRule>
  </conditionalFormatting>
  <conditionalFormatting sqref="AG24">
    <cfRule type="cellIs" dxfId="4" priority="327" operator="lessThanOrEqual">
      <formula>I24</formula>
    </cfRule>
  </conditionalFormatting>
  <conditionalFormatting sqref="AG31">
    <cfRule type="cellIs" dxfId="4" priority="332" operator="lessThanOrEqual">
      <formula>I31</formula>
    </cfRule>
  </conditionalFormatting>
  <conditionalFormatting sqref="AG33">
    <cfRule type="cellIs" dxfId="4" priority="337" operator="lessThanOrEqual">
      <formula>I33</formula>
    </cfRule>
  </conditionalFormatting>
  <conditionalFormatting sqref="AG8">
    <cfRule type="cellIs" dxfId="4" priority="272" operator="lessThanOrEqual">
      <formula>I8</formula>
    </cfRule>
  </conditionalFormatting>
  <conditionalFormatting sqref="AG9">
    <cfRule type="cellIs" dxfId="4" priority="277" operator="lessThanOrEqual">
      <formula>I9</formula>
    </cfRule>
  </conditionalFormatting>
  <conditionalFormatting sqref="AI10">
    <cfRule type="cellIs" dxfId="1" priority="344" operator="equal">
      <formula>0</formula>
    </cfRule>
    <cfRule type="cellIs" dxfId="2" priority="345" operator="lessThan">
      <formula>G10</formula>
    </cfRule>
  </conditionalFormatting>
  <conditionalFormatting sqref="AI12">
    <cfRule type="cellIs" dxfId="1" priority="349" operator="equal">
      <formula>0</formula>
    </cfRule>
    <cfRule type="cellIs" dxfId="2" priority="350" operator="lessThan">
      <formula>G12</formula>
    </cfRule>
  </conditionalFormatting>
  <conditionalFormatting sqref="AI13">
    <cfRule type="cellIs" dxfId="1" priority="354" operator="equal">
      <formula>0</formula>
    </cfRule>
    <cfRule type="cellIs" dxfId="2" priority="355" operator="lessThan">
      <formula>G13</formula>
    </cfRule>
  </conditionalFormatting>
  <conditionalFormatting sqref="AI15">
    <cfRule type="cellIs" dxfId="1" priority="360" operator="equal">
      <formula>0</formula>
    </cfRule>
    <cfRule type="cellIs" dxfId="2" priority="361" operator="lessThan">
      <formula>G15</formula>
    </cfRule>
  </conditionalFormatting>
  <conditionalFormatting sqref="AI16">
    <cfRule type="cellIs" dxfId="1" priority="366" operator="equal">
      <formula>0</formula>
    </cfRule>
    <cfRule type="cellIs" dxfId="2" priority="367" operator="lessThan">
      <formula>G16</formula>
    </cfRule>
  </conditionalFormatting>
  <conditionalFormatting sqref="AI18">
    <cfRule type="cellIs" dxfId="1" priority="371" operator="equal">
      <formula>0</formula>
    </cfRule>
    <cfRule type="cellIs" dxfId="2" priority="372" operator="lessThan">
      <formula>G18</formula>
    </cfRule>
  </conditionalFormatting>
  <conditionalFormatting sqref="AI22">
    <cfRule type="cellIs" dxfId="1" priority="376" operator="equal">
      <formula>0</formula>
    </cfRule>
    <cfRule type="cellIs" dxfId="2" priority="377" operator="lessThan">
      <formula>G22</formula>
    </cfRule>
  </conditionalFormatting>
  <conditionalFormatting sqref="AI23">
    <cfRule type="cellIs" dxfId="1" priority="381" operator="equal">
      <formula>0</formula>
    </cfRule>
    <cfRule type="cellIs" dxfId="2" priority="382" operator="lessThan">
      <formula>G23</formula>
    </cfRule>
  </conditionalFormatting>
  <conditionalFormatting sqref="AI24">
    <cfRule type="cellIs" dxfId="1" priority="386" operator="equal">
      <formula>0</formula>
    </cfRule>
    <cfRule type="cellIs" dxfId="2" priority="387" operator="lessThan">
      <formula>G24</formula>
    </cfRule>
  </conditionalFormatting>
  <conditionalFormatting sqref="AI29">
    <cfRule type="cellIs" dxfId="1" priority="392" operator="equal">
      <formula>0</formula>
    </cfRule>
    <cfRule type="cellIs" dxfId="2" priority="393" operator="lessThan">
      <formula>G29</formula>
    </cfRule>
  </conditionalFormatting>
  <conditionalFormatting sqref="AI31">
    <cfRule type="cellIs" dxfId="1" priority="398" operator="equal">
      <formula>0</formula>
    </cfRule>
    <cfRule type="cellIs" dxfId="2" priority="399" operator="lessThan">
      <formula>G31</formula>
    </cfRule>
  </conditionalFormatting>
  <conditionalFormatting sqref="AI33">
    <cfRule type="cellIs" dxfId="1" priority="403" operator="equal">
      <formula>0</formula>
    </cfRule>
    <cfRule type="cellIs" dxfId="2" priority="404" operator="lessThan">
      <formula>G33</formula>
    </cfRule>
  </conditionalFormatting>
  <conditionalFormatting sqref="AI9">
    <cfRule type="cellIs" dxfId="1" priority="339" operator="equal">
      <formula>0</formula>
    </cfRule>
    <cfRule type="cellIs" dxfId="2" priority="340" operator="lessThan">
      <formula>G9</formula>
    </cfRule>
  </conditionalFormatting>
  <conditionalFormatting sqref="AJ10">
    <cfRule type="cellIs" dxfId="1" priority="346" operator="greaterThan">
      <formula>AI10</formula>
    </cfRule>
  </conditionalFormatting>
  <conditionalFormatting sqref="AJ12">
    <cfRule type="cellIs" dxfId="1" priority="351" operator="greaterThan">
      <formula>AI12</formula>
    </cfRule>
  </conditionalFormatting>
  <conditionalFormatting sqref="AJ13">
    <cfRule type="expression" dxfId="3" priority="356">
      <formula>AND(AJ13&gt;0,AJ13&lt;10)</formula>
    </cfRule>
    <cfRule type="cellIs" dxfId="1" priority="357" operator="greaterThan">
      <formula>AI13</formula>
    </cfRule>
  </conditionalFormatting>
  <conditionalFormatting sqref="AJ15">
    <cfRule type="expression" dxfId="3" priority="362">
      <formula>AND(AJ15&gt;0,AJ15&lt;15000)</formula>
    </cfRule>
    <cfRule type="cellIs" dxfId="1" priority="363" operator="greaterThan">
      <formula>AI15</formula>
    </cfRule>
  </conditionalFormatting>
  <conditionalFormatting sqref="AJ16">
    <cfRule type="cellIs" dxfId="1" priority="368" operator="greaterThan">
      <formula>AI16</formula>
    </cfRule>
  </conditionalFormatting>
  <conditionalFormatting sqref="AJ18">
    <cfRule type="cellIs" dxfId="1" priority="373" operator="greaterThan">
      <formula>AI18</formula>
    </cfRule>
  </conditionalFormatting>
  <conditionalFormatting sqref="AJ22">
    <cfRule type="cellIs" dxfId="1" priority="378" operator="greaterThan">
      <formula>AI22</formula>
    </cfRule>
  </conditionalFormatting>
  <conditionalFormatting sqref="AJ23">
    <cfRule type="cellIs" dxfId="1" priority="383" operator="greaterThan">
      <formula>AI23</formula>
    </cfRule>
  </conditionalFormatting>
  <conditionalFormatting sqref="AJ24">
    <cfRule type="expression" dxfId="3" priority="388">
      <formula>AND(AJ24&gt;0,AJ24&lt;10)</formula>
    </cfRule>
    <cfRule type="cellIs" dxfId="1" priority="389" operator="greaterThan">
      <formula>AI24</formula>
    </cfRule>
  </conditionalFormatting>
  <conditionalFormatting sqref="AJ29">
    <cfRule type="expression" dxfId="3" priority="394">
      <formula>AND(AJ29&gt;0,AJ29&lt;10000)</formula>
    </cfRule>
    <cfRule type="cellIs" dxfId="1" priority="395" operator="greaterThan">
      <formula>AI29</formula>
    </cfRule>
  </conditionalFormatting>
  <conditionalFormatting sqref="AJ31">
    <cfRule type="cellIs" dxfId="1" priority="400" operator="greaterThan">
      <formula>AI31</formula>
    </cfRule>
  </conditionalFormatting>
  <conditionalFormatting sqref="AJ33">
    <cfRule type="cellIs" dxfId="1" priority="405" operator="greaterThan">
      <formula>AI33</formula>
    </cfRule>
  </conditionalFormatting>
  <conditionalFormatting sqref="AJ9">
    <cfRule type="cellIs" dxfId="1" priority="341" operator="greaterThan">
      <formula>AI9</formula>
    </cfRule>
  </conditionalFormatting>
  <conditionalFormatting sqref="AK10">
    <cfRule type="cellIs" dxfId="4" priority="348" operator="lessThanOrEqual">
      <formula>H10</formula>
    </cfRule>
  </conditionalFormatting>
  <conditionalFormatting sqref="AK12">
    <cfRule type="cellIs" dxfId="4" priority="353" operator="lessThanOrEqual">
      <formula>H12</formula>
    </cfRule>
  </conditionalFormatting>
  <conditionalFormatting sqref="AK13">
    <cfRule type="cellIs" dxfId="4" priority="359" operator="lessThanOrEqual">
      <formula>H13</formula>
    </cfRule>
  </conditionalFormatting>
  <conditionalFormatting sqref="AK15">
    <cfRule type="cellIs" dxfId="4" priority="365" operator="lessThanOrEqual">
      <formula>H15</formula>
    </cfRule>
  </conditionalFormatting>
  <conditionalFormatting sqref="AK16">
    <cfRule type="cellIs" dxfId="4" priority="370" operator="lessThanOrEqual">
      <formula>H16</formula>
    </cfRule>
  </conditionalFormatting>
  <conditionalFormatting sqref="AK18">
    <cfRule type="cellIs" dxfId="4" priority="375" operator="lessThanOrEqual">
      <formula>H18</formula>
    </cfRule>
  </conditionalFormatting>
  <conditionalFormatting sqref="AK22">
    <cfRule type="cellIs" dxfId="4" priority="380" operator="lessThanOrEqual">
      <formula>H22</formula>
    </cfRule>
  </conditionalFormatting>
  <conditionalFormatting sqref="AK23">
    <cfRule type="cellIs" dxfId="4" priority="385" operator="lessThanOrEqual">
      <formula>H23</formula>
    </cfRule>
  </conditionalFormatting>
  <conditionalFormatting sqref="AK24">
    <cfRule type="cellIs" dxfId="4" priority="391" operator="lessThanOrEqual">
      <formula>H24</formula>
    </cfRule>
  </conditionalFormatting>
  <conditionalFormatting sqref="AK29">
    <cfRule type="cellIs" dxfId="4" priority="397" operator="lessThanOrEqual">
      <formula>H29</formula>
    </cfRule>
  </conditionalFormatting>
  <conditionalFormatting sqref="AK31">
    <cfRule type="cellIs" dxfId="4" priority="402" operator="lessThanOrEqual">
      <formula>H31</formula>
    </cfRule>
  </conditionalFormatting>
  <conditionalFormatting sqref="AK33">
    <cfRule type="cellIs" dxfId="4" priority="407" operator="lessThanOrEqual">
      <formula>H33</formula>
    </cfRule>
  </conditionalFormatting>
  <conditionalFormatting sqref="AK9">
    <cfRule type="cellIs" dxfId="4" priority="343" operator="lessThanOrEqual">
      <formula>H9</formula>
    </cfRule>
  </conditionalFormatting>
  <conditionalFormatting sqref="AL10">
    <cfRule type="cellIs" dxfId="4" priority="347" operator="lessThanOrEqual">
      <formula>I10</formula>
    </cfRule>
  </conditionalFormatting>
  <conditionalFormatting sqref="AL12">
    <cfRule type="cellIs" dxfId="4" priority="352" operator="lessThanOrEqual">
      <formula>I12</formula>
    </cfRule>
  </conditionalFormatting>
  <conditionalFormatting sqref="AL13">
    <cfRule type="cellIs" dxfId="4" priority="358" operator="lessThanOrEqual">
      <formula>I13</formula>
    </cfRule>
  </conditionalFormatting>
  <conditionalFormatting sqref="AL15">
    <cfRule type="cellIs" dxfId="4" priority="364" operator="lessThanOrEqual">
      <formula>I15</formula>
    </cfRule>
  </conditionalFormatting>
  <conditionalFormatting sqref="AL16">
    <cfRule type="cellIs" dxfId="4" priority="369" operator="lessThanOrEqual">
      <formula>I16</formula>
    </cfRule>
  </conditionalFormatting>
  <conditionalFormatting sqref="AL18">
    <cfRule type="cellIs" dxfId="4" priority="374" operator="lessThanOrEqual">
      <formula>I18</formula>
    </cfRule>
  </conditionalFormatting>
  <conditionalFormatting sqref="AL22">
    <cfRule type="cellIs" dxfId="4" priority="379" operator="lessThanOrEqual">
      <formula>I22</formula>
    </cfRule>
  </conditionalFormatting>
  <conditionalFormatting sqref="AL23">
    <cfRule type="cellIs" dxfId="4" priority="384" operator="lessThanOrEqual">
      <formula>I23</formula>
    </cfRule>
  </conditionalFormatting>
  <conditionalFormatting sqref="AL24">
    <cfRule type="cellIs" dxfId="4" priority="390" operator="lessThanOrEqual">
      <formula>I24</formula>
    </cfRule>
  </conditionalFormatting>
  <conditionalFormatting sqref="AL29">
    <cfRule type="cellIs" dxfId="4" priority="396" operator="lessThanOrEqual">
      <formula>I29</formula>
    </cfRule>
  </conditionalFormatting>
  <conditionalFormatting sqref="AL31">
    <cfRule type="cellIs" dxfId="4" priority="401" operator="lessThanOrEqual">
      <formula>I31</formula>
    </cfRule>
  </conditionalFormatting>
  <conditionalFormatting sqref="AL33">
    <cfRule type="cellIs" dxfId="4" priority="406" operator="lessThanOrEqual">
      <formula>I33</formula>
    </cfRule>
  </conditionalFormatting>
  <conditionalFormatting sqref="AL9">
    <cfRule type="cellIs" dxfId="4" priority="342" operator="lessThanOrEqual">
      <formula>I9</formula>
    </cfRule>
  </conditionalFormatting>
  <conditionalFormatting sqref="AN12">
    <cfRule type="cellIs" dxfId="1" priority="408" operator="equal">
      <formula>0</formula>
    </cfRule>
    <cfRule type="cellIs" dxfId="2" priority="409" operator="lessThan">
      <formula>G12</formula>
    </cfRule>
  </conditionalFormatting>
  <conditionalFormatting sqref="AO12">
    <cfRule type="expression" dxfId="3" priority="410">
      <formula>AND(AO12&gt;0,AO12&lt;15000)</formula>
    </cfRule>
    <cfRule type="cellIs" dxfId="1" priority="411" operator="greaterThan">
      <formula>AN12</formula>
    </cfRule>
  </conditionalFormatting>
  <conditionalFormatting sqref="AP12">
    <cfRule type="cellIs" dxfId="4" priority="413" operator="lessThanOrEqual">
      <formula>H12</formula>
    </cfRule>
  </conditionalFormatting>
  <conditionalFormatting sqref="AQ12">
    <cfRule type="cellIs" dxfId="4" priority="412" operator="lessThanOrEqual">
      <formula>I12</formula>
    </cfRule>
  </conditionalFormatting>
  <conditionalFormatting sqref="AS14">
    <cfRule type="cellIs" dxfId="1" priority="414" operator="equal">
      <formula>0</formula>
    </cfRule>
    <cfRule type="cellIs" dxfId="2" priority="415" operator="lessThan">
      <formula>G14</formula>
    </cfRule>
  </conditionalFormatting>
  <conditionalFormatting sqref="AS16">
    <cfRule type="cellIs" dxfId="1" priority="420" operator="equal">
      <formula>0</formula>
    </cfRule>
    <cfRule type="cellIs" dxfId="2" priority="421" operator="lessThan">
      <formula>G16</formula>
    </cfRule>
  </conditionalFormatting>
  <conditionalFormatting sqref="AS18">
    <cfRule type="cellIs" dxfId="1" priority="426" operator="equal">
      <formula>0</formula>
    </cfRule>
    <cfRule type="cellIs" dxfId="2" priority="427" operator="lessThan">
      <formula>G18</formula>
    </cfRule>
  </conditionalFormatting>
  <conditionalFormatting sqref="AT14">
    <cfRule type="expression" dxfId="3" priority="416">
      <formula>AND(AT14&gt;0,AT14&lt;10)</formula>
    </cfRule>
    <cfRule type="cellIs" dxfId="1" priority="417" operator="greaterThan">
      <formula>AS14</formula>
    </cfRule>
  </conditionalFormatting>
  <conditionalFormatting sqref="AT16">
    <cfRule type="expression" dxfId="3" priority="422">
      <formula>AND(AT16&gt;0,AT16&lt;30)</formula>
    </cfRule>
    <cfRule type="cellIs" dxfId="1" priority="423" operator="greaterThan">
      <formula>AS16</formula>
    </cfRule>
  </conditionalFormatting>
  <conditionalFormatting sqref="AT18">
    <cfRule type="expression" dxfId="3" priority="428">
      <formula>AND(AT18&gt;0,AT18&lt;3)</formula>
    </cfRule>
    <cfRule type="cellIs" dxfId="1" priority="429" operator="greaterThan">
      <formula>AS18</formula>
    </cfRule>
  </conditionalFormatting>
  <conditionalFormatting sqref="AU14">
    <cfRule type="cellIs" dxfId="4" priority="419" operator="lessThanOrEqual">
      <formula>H14</formula>
    </cfRule>
  </conditionalFormatting>
  <conditionalFormatting sqref="AU16">
    <cfRule type="cellIs" dxfId="4" priority="425" operator="lessThanOrEqual">
      <formula>H16</formula>
    </cfRule>
  </conditionalFormatting>
  <conditionalFormatting sqref="AU18">
    <cfRule type="cellIs" dxfId="4" priority="431" operator="lessThanOrEqual">
      <formula>H18</formula>
    </cfRule>
  </conditionalFormatting>
  <conditionalFormatting sqref="AV14">
    <cfRule type="cellIs" dxfId="4" priority="418" operator="lessThanOrEqual">
      <formula>I14</formula>
    </cfRule>
  </conditionalFormatting>
  <conditionalFormatting sqref="AV16">
    <cfRule type="cellIs" dxfId="4" priority="424" operator="lessThanOrEqual">
      <formula>I16</formula>
    </cfRule>
  </conditionalFormatting>
  <conditionalFormatting sqref="AV18">
    <cfRule type="cellIs" dxfId="4" priority="430" operator="lessThanOrEqual">
      <formula>I18</formula>
    </cfRule>
  </conditionalFormatting>
  <conditionalFormatting sqref="G10">
    <cfRule type="expression" dxfId="0" priority="13">
      <formula>AND(ISBLANK(F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1">
    <cfRule type="expression" dxfId="0" priority="17">
      <formula>AND(ISBLANK(F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2">
    <cfRule type="expression" dxfId="0" priority="21">
      <formula>AND(ISBLANK(F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3">
    <cfRule type="expression" dxfId="0" priority="25">
      <formula>AND(ISBLANK(F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4">
    <cfRule type="expression" dxfId="0" priority="29">
      <formula>AND(ISBLANK(F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5">
    <cfRule type="expression" dxfId="0" priority="33">
      <formula>AND(ISBLANK(F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6">
    <cfRule type="expression" dxfId="0" priority="37">
      <formula>AND(ISBLANK(F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7">
    <cfRule type="expression" dxfId="0" priority="41">
      <formula>AND(ISBLANK(F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8">
    <cfRule type="expression" dxfId="0" priority="45">
      <formula>AND(ISBLANK(F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19">
    <cfRule type="expression" dxfId="0" priority="49">
      <formula>AND(ISBLANK(F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0">
    <cfRule type="expression" dxfId="0" priority="53">
      <formula>AND(ISBLANK(F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1">
    <cfRule type="expression" dxfId="0" priority="57">
      <formula>AND(ISBLANK(F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2">
    <cfRule type="expression" dxfId="0" priority="61">
      <formula>AND(ISBLANK(F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3">
    <cfRule type="expression" dxfId="0" priority="65">
      <formula>AND(ISBLANK(F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4">
    <cfRule type="expression" dxfId="0" priority="69">
      <formula>AND(ISBLANK(F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5">
    <cfRule type="expression" dxfId="0" priority="73">
      <formula>AND(ISBLANK(F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6">
    <cfRule type="expression" dxfId="0" priority="77">
      <formula>AND(ISBLANK(F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7">
    <cfRule type="expression" dxfId="0" priority="81">
      <formula>AND(ISBLANK(F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8">
    <cfRule type="expression" dxfId="0" priority="85">
      <formula>AND(ISBLANK(F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29">
    <cfRule type="expression" dxfId="0" priority="89">
      <formula>AND(ISBLANK(F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0">
    <cfRule type="expression" dxfId="0" priority="93">
      <formula>AND(ISBLANK(F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1">
    <cfRule type="expression" dxfId="0" priority="97">
      <formula>AND(ISBLANK(F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2">
    <cfRule type="expression" dxfId="0" priority="101">
      <formula>AND(ISBLANK(F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3">
    <cfRule type="expression" dxfId="0" priority="105">
      <formula>AND(ISBLANK(F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34">
    <cfRule type="expression" dxfId="0" priority="109">
      <formula>AND(ISBLANK(F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7">
    <cfRule type="expression" dxfId="0" priority="1">
      <formula>AND(ISBLANK(F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8">
    <cfRule type="expression" dxfId="0" priority="5">
      <formula>AND(ISBLANK(F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G9">
    <cfRule type="expression" dxfId="0" priority="9">
      <formula>AND(ISBLANK(F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O10">
    <cfRule type="cellIs" dxfId="1" priority="123" operator="equal">
      <formula>0</formula>
    </cfRule>
    <cfRule type="cellIs" dxfId="2" priority="124" operator="lessThan">
      <formula>G10</formula>
    </cfRule>
  </conditionalFormatting>
  <conditionalFormatting sqref="O12">
    <cfRule type="cellIs" dxfId="1" priority="128" operator="equal">
      <formula>0</formula>
    </cfRule>
    <cfRule type="cellIs" dxfId="2" priority="129" operator="lessThan">
      <formula>G12</formula>
    </cfRule>
  </conditionalFormatting>
  <conditionalFormatting sqref="O13">
    <cfRule type="cellIs" dxfId="1" priority="133" operator="equal">
      <formula>0</formula>
    </cfRule>
    <cfRule type="cellIs" dxfId="2" priority="134" operator="lessThan">
      <formula>G13</formula>
    </cfRule>
  </conditionalFormatting>
  <conditionalFormatting sqref="O14">
    <cfRule type="cellIs" dxfId="1" priority="138" operator="equal">
      <formula>0</formula>
    </cfRule>
    <cfRule type="cellIs" dxfId="2" priority="139" operator="lessThan">
      <formula>G14</formula>
    </cfRule>
  </conditionalFormatting>
  <conditionalFormatting sqref="O15">
    <cfRule type="cellIs" dxfId="1" priority="143" operator="equal">
      <formula>0</formula>
    </cfRule>
    <cfRule type="cellIs" dxfId="2" priority="144" operator="lessThan">
      <formula>G15</formula>
    </cfRule>
  </conditionalFormatting>
  <conditionalFormatting sqref="O16">
    <cfRule type="cellIs" dxfId="1" priority="148" operator="equal">
      <formula>0</formula>
    </cfRule>
    <cfRule type="cellIs" dxfId="2" priority="149" operator="lessThan">
      <formula>G16</formula>
    </cfRule>
  </conditionalFormatting>
  <conditionalFormatting sqref="O18">
    <cfRule type="cellIs" dxfId="1" priority="153" operator="equal">
      <formula>0</formula>
    </cfRule>
    <cfRule type="cellIs" dxfId="2" priority="154" operator="lessThan">
      <formula>G18</formula>
    </cfRule>
  </conditionalFormatting>
  <conditionalFormatting sqref="O22">
    <cfRule type="cellIs" dxfId="1" priority="158" operator="equal">
      <formula>0</formula>
    </cfRule>
    <cfRule type="cellIs" dxfId="2" priority="159" operator="lessThan">
      <formula>G22</formula>
    </cfRule>
  </conditionalFormatting>
  <conditionalFormatting sqref="O23">
    <cfRule type="cellIs" dxfId="1" priority="163" operator="equal">
      <formula>0</formula>
    </cfRule>
    <cfRule type="cellIs" dxfId="2" priority="164" operator="lessThan">
      <formula>G23</formula>
    </cfRule>
  </conditionalFormatting>
  <conditionalFormatting sqref="O24">
    <cfRule type="cellIs" dxfId="1" priority="168" operator="equal">
      <formula>0</formula>
    </cfRule>
    <cfRule type="cellIs" dxfId="2" priority="169" operator="lessThan">
      <formula>G24</formula>
    </cfRule>
  </conditionalFormatting>
  <conditionalFormatting sqref="O26">
    <cfRule type="cellIs" dxfId="1" priority="173" operator="equal">
      <formula>0</formula>
    </cfRule>
    <cfRule type="cellIs" dxfId="2" priority="174" operator="lessThan">
      <formula>G26</formula>
    </cfRule>
  </conditionalFormatting>
  <conditionalFormatting sqref="O29">
    <cfRule type="cellIs" dxfId="1" priority="179" operator="equal">
      <formula>0</formula>
    </cfRule>
    <cfRule type="cellIs" dxfId="2" priority="180" operator="lessThan">
      <formula>G29</formula>
    </cfRule>
  </conditionalFormatting>
  <conditionalFormatting sqref="O31">
    <cfRule type="cellIs" dxfId="1" priority="184" operator="equal">
      <formula>0</formula>
    </cfRule>
    <cfRule type="cellIs" dxfId="2" priority="185" operator="lessThan">
      <formula>G31</formula>
    </cfRule>
  </conditionalFormatting>
  <conditionalFormatting sqref="O32">
    <cfRule type="cellIs" dxfId="1" priority="189" operator="equal">
      <formula>0</formula>
    </cfRule>
    <cfRule type="cellIs" dxfId="2" priority="190" operator="lessThan">
      <formula>G32</formula>
    </cfRule>
  </conditionalFormatting>
  <conditionalFormatting sqref="O33">
    <cfRule type="cellIs" dxfId="1" priority="194" operator="equal">
      <formula>0</formula>
    </cfRule>
    <cfRule type="cellIs" dxfId="2" priority="195" operator="lessThan">
      <formula>G33</formula>
    </cfRule>
  </conditionalFormatting>
  <conditionalFormatting sqref="O8">
    <cfRule type="cellIs" dxfId="1" priority="113" operator="equal">
      <formula>0</formula>
    </cfRule>
    <cfRule type="cellIs" dxfId="2" priority="114" operator="lessThan">
      <formula>G8</formula>
    </cfRule>
  </conditionalFormatting>
  <conditionalFormatting sqref="O9">
    <cfRule type="cellIs" dxfId="1" priority="118" operator="equal">
      <formula>0</formula>
    </cfRule>
    <cfRule type="cellIs" dxfId="2" priority="119" operator="lessThan">
      <formula>G9</formula>
    </cfRule>
  </conditionalFormatting>
  <conditionalFormatting sqref="P10">
    <cfRule type="cellIs" dxfId="1" priority="125" operator="greaterThan">
      <formula>O10</formula>
    </cfRule>
  </conditionalFormatting>
  <conditionalFormatting sqref="P12">
    <cfRule type="cellIs" dxfId="1" priority="130" operator="greaterThan">
      <formula>O12</formula>
    </cfRule>
  </conditionalFormatting>
  <conditionalFormatting sqref="P13">
    <cfRule type="cellIs" dxfId="1" priority="135" operator="greaterThan">
      <formula>O13</formula>
    </cfRule>
  </conditionalFormatting>
  <conditionalFormatting sqref="P14">
    <cfRule type="cellIs" dxfId="1" priority="140" operator="greaterThan">
      <formula>O14</formula>
    </cfRule>
  </conditionalFormatting>
  <conditionalFormatting sqref="P15">
    <cfRule type="cellIs" dxfId="1" priority="145" operator="greaterThan">
      <formula>O15</formula>
    </cfRule>
  </conditionalFormatting>
  <conditionalFormatting sqref="P16">
    <cfRule type="cellIs" dxfId="1" priority="150" operator="greaterThan">
      <formula>O16</formula>
    </cfRule>
  </conditionalFormatting>
  <conditionalFormatting sqref="P18">
    <cfRule type="cellIs" dxfId="1" priority="155" operator="greaterThan">
      <formula>O18</formula>
    </cfRule>
  </conditionalFormatting>
  <conditionalFormatting sqref="P22">
    <cfRule type="cellIs" dxfId="1" priority="160" operator="greaterThan">
      <formula>O22</formula>
    </cfRule>
  </conditionalFormatting>
  <conditionalFormatting sqref="P23">
    <cfRule type="cellIs" dxfId="1" priority="165" operator="greaterThan">
      <formula>O23</formula>
    </cfRule>
  </conditionalFormatting>
  <conditionalFormatting sqref="P24">
    <cfRule type="cellIs" dxfId="1" priority="170" operator="greaterThan">
      <formula>O24</formula>
    </cfRule>
  </conditionalFormatting>
  <conditionalFormatting sqref="P26">
    <cfRule type="expression" dxfId="3" priority="175">
      <formula>AND(P26&gt;0,P26&lt;1000)</formula>
    </cfRule>
    <cfRule type="cellIs" dxfId="1" priority="176" operator="greaterThan">
      <formula>O26</formula>
    </cfRule>
  </conditionalFormatting>
  <conditionalFormatting sqref="P29">
    <cfRule type="cellIs" dxfId="1" priority="181" operator="greaterThan">
      <formula>O29</formula>
    </cfRule>
  </conditionalFormatting>
  <conditionalFormatting sqref="P31">
    <cfRule type="cellIs" dxfId="1" priority="186" operator="greaterThan">
      <formula>O31</formula>
    </cfRule>
  </conditionalFormatting>
  <conditionalFormatting sqref="P32">
    <cfRule type="cellIs" dxfId="1" priority="191" operator="greaterThan">
      <formula>O32</formula>
    </cfRule>
  </conditionalFormatting>
  <conditionalFormatting sqref="P33">
    <cfRule type="cellIs" dxfId="1" priority="196" operator="greaterThan">
      <formula>O33</formula>
    </cfRule>
  </conditionalFormatting>
  <conditionalFormatting sqref="P8">
    <cfRule type="cellIs" dxfId="1" priority="115" operator="greaterThan">
      <formula>O8</formula>
    </cfRule>
  </conditionalFormatting>
  <conditionalFormatting sqref="P9">
    <cfRule type="cellIs" dxfId="1" priority="120" operator="greaterThan">
      <formula>O9</formula>
    </cfRule>
  </conditionalFormatting>
  <conditionalFormatting sqref="Q10">
    <cfRule type="cellIs" dxfId="4" priority="127" operator="lessThanOrEqual">
      <formula>H10</formula>
    </cfRule>
  </conditionalFormatting>
  <conditionalFormatting sqref="Q12">
    <cfRule type="cellIs" dxfId="4" priority="132" operator="lessThanOrEqual">
      <formula>H12</formula>
    </cfRule>
  </conditionalFormatting>
  <conditionalFormatting sqref="Q13">
    <cfRule type="cellIs" dxfId="4" priority="137" operator="lessThanOrEqual">
      <formula>H13</formula>
    </cfRule>
  </conditionalFormatting>
  <conditionalFormatting sqref="Q14">
    <cfRule type="cellIs" dxfId="4" priority="142" operator="lessThanOrEqual">
      <formula>H14</formula>
    </cfRule>
  </conditionalFormatting>
  <conditionalFormatting sqref="Q15">
    <cfRule type="cellIs" dxfId="4" priority="147" operator="lessThanOrEqual">
      <formula>H15</formula>
    </cfRule>
  </conditionalFormatting>
  <conditionalFormatting sqref="Q16">
    <cfRule type="cellIs" dxfId="4" priority="152" operator="lessThanOrEqual">
      <formula>H16</formula>
    </cfRule>
  </conditionalFormatting>
  <conditionalFormatting sqref="Q18">
    <cfRule type="cellIs" dxfId="4" priority="157" operator="lessThanOrEqual">
      <formula>H18</formula>
    </cfRule>
  </conditionalFormatting>
  <conditionalFormatting sqref="Q22">
    <cfRule type="cellIs" dxfId="4" priority="162" operator="lessThanOrEqual">
      <formula>H22</formula>
    </cfRule>
  </conditionalFormatting>
  <conditionalFormatting sqref="Q23">
    <cfRule type="cellIs" dxfId="4" priority="167" operator="lessThanOrEqual">
      <formula>H23</formula>
    </cfRule>
  </conditionalFormatting>
  <conditionalFormatting sqref="Q24">
    <cfRule type="cellIs" dxfId="4" priority="172" operator="lessThanOrEqual">
      <formula>H24</formula>
    </cfRule>
  </conditionalFormatting>
  <conditionalFormatting sqref="Q26">
    <cfRule type="cellIs" dxfId="4" priority="178" operator="lessThanOrEqual">
      <formula>H26</formula>
    </cfRule>
  </conditionalFormatting>
  <conditionalFormatting sqref="Q29">
    <cfRule type="cellIs" dxfId="4" priority="183" operator="lessThanOrEqual">
      <formula>H29</formula>
    </cfRule>
  </conditionalFormatting>
  <conditionalFormatting sqref="Q31">
    <cfRule type="cellIs" dxfId="4" priority="188" operator="lessThanOrEqual">
      <formula>H31</formula>
    </cfRule>
  </conditionalFormatting>
  <conditionalFormatting sqref="Q32">
    <cfRule type="cellIs" dxfId="4" priority="193" operator="lessThanOrEqual">
      <formula>H32</formula>
    </cfRule>
  </conditionalFormatting>
  <conditionalFormatting sqref="Q33">
    <cfRule type="cellIs" dxfId="4" priority="198" operator="lessThanOrEqual">
      <formula>H33</formula>
    </cfRule>
  </conditionalFormatting>
  <conditionalFormatting sqref="Q8">
    <cfRule type="cellIs" dxfId="4" priority="117" operator="lessThanOrEqual">
      <formula>H8</formula>
    </cfRule>
  </conditionalFormatting>
  <conditionalFormatting sqref="Q9">
    <cfRule type="cellIs" dxfId="4" priority="122" operator="lessThanOrEqual">
      <formula>H9</formula>
    </cfRule>
  </conditionalFormatting>
  <conditionalFormatting sqref="R10">
    <cfRule type="cellIs" dxfId="4" priority="126" operator="lessThanOrEqual">
      <formula>I10</formula>
    </cfRule>
  </conditionalFormatting>
  <conditionalFormatting sqref="R12">
    <cfRule type="cellIs" dxfId="4" priority="131" operator="lessThanOrEqual">
      <formula>I12</formula>
    </cfRule>
  </conditionalFormatting>
  <conditionalFormatting sqref="R13">
    <cfRule type="cellIs" dxfId="4" priority="136" operator="lessThanOrEqual">
      <formula>I13</formula>
    </cfRule>
  </conditionalFormatting>
  <conditionalFormatting sqref="R14">
    <cfRule type="cellIs" dxfId="4" priority="141" operator="lessThanOrEqual">
      <formula>I14</formula>
    </cfRule>
  </conditionalFormatting>
  <conditionalFormatting sqref="R15">
    <cfRule type="cellIs" dxfId="4" priority="146" operator="lessThanOrEqual">
      <formula>I15</formula>
    </cfRule>
  </conditionalFormatting>
  <conditionalFormatting sqref="R16">
    <cfRule type="cellIs" dxfId="4" priority="151" operator="lessThanOrEqual">
      <formula>I16</formula>
    </cfRule>
  </conditionalFormatting>
  <conditionalFormatting sqref="R18">
    <cfRule type="cellIs" dxfId="4" priority="156" operator="lessThanOrEqual">
      <formula>I18</formula>
    </cfRule>
  </conditionalFormatting>
  <conditionalFormatting sqref="R22">
    <cfRule type="cellIs" dxfId="4" priority="161" operator="lessThanOrEqual">
      <formula>I22</formula>
    </cfRule>
  </conditionalFormatting>
  <conditionalFormatting sqref="R23">
    <cfRule type="cellIs" dxfId="4" priority="166" operator="lessThanOrEqual">
      <formula>I23</formula>
    </cfRule>
  </conditionalFormatting>
  <conditionalFormatting sqref="R24">
    <cfRule type="cellIs" dxfId="4" priority="171" operator="lessThanOrEqual">
      <formula>I24</formula>
    </cfRule>
  </conditionalFormatting>
  <conditionalFormatting sqref="R26">
    <cfRule type="cellIs" dxfId="4" priority="177" operator="lessThanOrEqual">
      <formula>I26</formula>
    </cfRule>
  </conditionalFormatting>
  <conditionalFormatting sqref="R29">
    <cfRule type="cellIs" dxfId="4" priority="182" operator="lessThanOrEqual">
      <formula>I29</formula>
    </cfRule>
  </conditionalFormatting>
  <conditionalFormatting sqref="R31">
    <cfRule type="cellIs" dxfId="4" priority="187" operator="lessThanOrEqual">
      <formula>I31</formula>
    </cfRule>
  </conditionalFormatting>
  <conditionalFormatting sqref="R32">
    <cfRule type="cellIs" dxfId="4" priority="192" operator="lessThanOrEqual">
      <formula>I32</formula>
    </cfRule>
  </conditionalFormatting>
  <conditionalFormatting sqref="R33">
    <cfRule type="cellIs" dxfId="4" priority="197" operator="lessThanOrEqual">
      <formula>I33</formula>
    </cfRule>
  </conditionalFormatting>
  <conditionalFormatting sqref="R8">
    <cfRule type="cellIs" dxfId="4" priority="116" operator="lessThanOrEqual">
      <formula>I8</formula>
    </cfRule>
  </conditionalFormatting>
  <conditionalFormatting sqref="R9">
    <cfRule type="cellIs" dxfId="4" priority="121" operator="lessThanOrEqual">
      <formula>I9</formula>
    </cfRule>
  </conditionalFormatting>
  <conditionalFormatting sqref="T12">
    <cfRule type="cellIs" dxfId="1" priority="205" operator="equal">
      <formula>0</formula>
    </cfRule>
    <cfRule type="cellIs" dxfId="2" priority="206" operator="lessThan">
      <formula>G12</formula>
    </cfRule>
  </conditionalFormatting>
  <conditionalFormatting sqref="T13">
    <cfRule type="cellIs" dxfId="1" priority="211" operator="equal">
      <formula>0</formula>
    </cfRule>
    <cfRule type="cellIs" dxfId="2" priority="212" operator="lessThan">
      <formula>G13</formula>
    </cfRule>
  </conditionalFormatting>
  <conditionalFormatting sqref="T16">
    <cfRule type="cellIs" dxfId="1" priority="217" operator="equal">
      <formula>0</formula>
    </cfRule>
    <cfRule type="cellIs" dxfId="2" priority="218" operator="lessThan">
      <formula>G16</formula>
    </cfRule>
  </conditionalFormatting>
  <conditionalFormatting sqref="T18">
    <cfRule type="cellIs" dxfId="1" priority="223" operator="equal">
      <formula>0</formula>
    </cfRule>
    <cfRule type="cellIs" dxfId="2" priority="224" operator="lessThan">
      <formula>G18</formula>
    </cfRule>
  </conditionalFormatting>
  <conditionalFormatting sqref="T22">
    <cfRule type="cellIs" dxfId="1" priority="228" operator="equal">
      <formula>0</formula>
    </cfRule>
    <cfRule type="cellIs" dxfId="2" priority="229" operator="lessThan">
      <formula>G22</formula>
    </cfRule>
  </conditionalFormatting>
  <conditionalFormatting sqref="T23">
    <cfRule type="cellIs" dxfId="1" priority="234" operator="equal">
      <formula>0</formula>
    </cfRule>
    <cfRule type="cellIs" dxfId="2" priority="235" operator="lessThan">
      <formula>G23</formula>
    </cfRule>
  </conditionalFormatting>
  <conditionalFormatting sqref="T24">
    <cfRule type="cellIs" dxfId="1" priority="240" operator="equal">
      <formula>0</formula>
    </cfRule>
    <cfRule type="cellIs" dxfId="2" priority="241" operator="lessThan">
      <formula>G24</formula>
    </cfRule>
  </conditionalFormatting>
  <conditionalFormatting sqref="T29">
    <cfRule type="cellIs" dxfId="1" priority="246" operator="equal">
      <formula>0</formula>
    </cfRule>
    <cfRule type="cellIs" dxfId="2" priority="247" operator="lessThan">
      <formula>G29</formula>
    </cfRule>
  </conditionalFormatting>
  <conditionalFormatting sqref="T31">
    <cfRule type="cellIs" dxfId="1" priority="252" operator="equal">
      <formula>0</formula>
    </cfRule>
    <cfRule type="cellIs" dxfId="2" priority="253" operator="lessThan">
      <formula>G31</formula>
    </cfRule>
  </conditionalFormatting>
  <conditionalFormatting sqref="T33">
    <cfRule type="cellIs" dxfId="1" priority="258" operator="equal">
      <formula>0</formula>
    </cfRule>
    <cfRule type="cellIs" dxfId="2" priority="259" operator="lessThan">
      <formula>G33</formula>
    </cfRule>
  </conditionalFormatting>
  <conditionalFormatting sqref="T9">
    <cfRule type="cellIs" dxfId="1" priority="199" operator="equal">
      <formula>0</formula>
    </cfRule>
    <cfRule type="cellIs" dxfId="2" priority="200" operator="lessThan">
      <formula>G9</formula>
    </cfRule>
  </conditionalFormatting>
  <conditionalFormatting sqref="U12">
    <cfRule type="expression" dxfId="3" priority="207">
      <formula>AND(U12&gt;0,U12&lt;10)</formula>
    </cfRule>
    <cfRule type="cellIs" dxfId="1" priority="208" operator="greaterThan">
      <formula>T12</formula>
    </cfRule>
  </conditionalFormatting>
  <conditionalFormatting sqref="U13">
    <cfRule type="expression" dxfId="3" priority="213">
      <formula>AND(U13&gt;0,U13&lt;10)</formula>
    </cfRule>
    <cfRule type="cellIs" dxfId="1" priority="214" operator="greaterThan">
      <formula>T13</formula>
    </cfRule>
  </conditionalFormatting>
  <conditionalFormatting sqref="U16">
    <cfRule type="expression" dxfId="3" priority="219">
      <formula>AND(U16&gt;0,U16&lt;5)</formula>
    </cfRule>
    <cfRule type="cellIs" dxfId="1" priority="220" operator="greaterThan">
      <formula>T16</formula>
    </cfRule>
  </conditionalFormatting>
  <conditionalFormatting sqref="U18">
    <cfRule type="cellIs" dxfId="1" priority="225" operator="greaterThan">
      <formula>T18</formula>
    </cfRule>
  </conditionalFormatting>
  <conditionalFormatting sqref="U22">
    <cfRule type="expression" dxfId="3" priority="230">
      <formula>AND(U22&gt;0,U22&lt;10)</formula>
    </cfRule>
    <cfRule type="cellIs" dxfId="1" priority="231" operator="greaterThan">
      <formula>T22</formula>
    </cfRule>
  </conditionalFormatting>
  <conditionalFormatting sqref="U23">
    <cfRule type="expression" dxfId="3" priority="236">
      <formula>AND(U23&gt;0,U23&lt;10)</formula>
    </cfRule>
    <cfRule type="cellIs" dxfId="1" priority="237" operator="greaterThan">
      <formula>T23</formula>
    </cfRule>
  </conditionalFormatting>
  <conditionalFormatting sqref="U24">
    <cfRule type="expression" dxfId="3" priority="242">
      <formula>AND(U24&gt;0,U24&lt;10)</formula>
    </cfRule>
    <cfRule type="cellIs" dxfId="1" priority="243" operator="greaterThan">
      <formula>T24</formula>
    </cfRule>
  </conditionalFormatting>
  <conditionalFormatting sqref="U29">
    <cfRule type="expression" dxfId="3" priority="248">
      <formula>AND(U29&gt;0,U29&lt;10000)</formula>
    </cfRule>
    <cfRule type="cellIs" dxfId="1" priority="249" operator="greaterThan">
      <formula>T29</formula>
    </cfRule>
  </conditionalFormatting>
  <conditionalFormatting sqref="U31">
    <cfRule type="expression" dxfId="3" priority="254">
      <formula>AND(U31&gt;0,U31&lt;10)</formula>
    </cfRule>
    <cfRule type="cellIs" dxfId="1" priority="255" operator="greaterThan">
      <formula>T31</formula>
    </cfRule>
  </conditionalFormatting>
  <conditionalFormatting sqref="U33">
    <cfRule type="cellIs" dxfId="1" priority="260" operator="greaterThan">
      <formula>T33</formula>
    </cfRule>
  </conditionalFormatting>
  <conditionalFormatting sqref="U9">
    <cfRule type="expression" dxfId="3" priority="201">
      <formula>AND(U9&gt;0,U9&lt;10)</formula>
    </cfRule>
    <cfRule type="cellIs" dxfId="1" priority="202" operator="greaterThan">
      <formula>T9</formula>
    </cfRule>
  </conditionalFormatting>
  <conditionalFormatting sqref="V12">
    <cfRule type="cellIs" dxfId="4" priority="210" operator="lessThanOrEqual">
      <formula>H12</formula>
    </cfRule>
  </conditionalFormatting>
  <conditionalFormatting sqref="V13">
    <cfRule type="cellIs" dxfId="4" priority="216" operator="lessThanOrEqual">
      <formula>H13</formula>
    </cfRule>
  </conditionalFormatting>
  <conditionalFormatting sqref="V16">
    <cfRule type="cellIs" dxfId="4" priority="222" operator="lessThanOrEqual">
      <formula>H16</formula>
    </cfRule>
  </conditionalFormatting>
  <conditionalFormatting sqref="V18">
    <cfRule type="cellIs" dxfId="4" priority="227" operator="lessThanOrEqual">
      <formula>H18</formula>
    </cfRule>
  </conditionalFormatting>
  <conditionalFormatting sqref="V22">
    <cfRule type="cellIs" dxfId="4" priority="233" operator="lessThanOrEqual">
      <formula>H22</formula>
    </cfRule>
  </conditionalFormatting>
  <conditionalFormatting sqref="V23">
    <cfRule type="cellIs" dxfId="4" priority="239" operator="lessThanOrEqual">
      <formula>H23</formula>
    </cfRule>
  </conditionalFormatting>
  <conditionalFormatting sqref="V24">
    <cfRule type="cellIs" dxfId="4" priority="245" operator="lessThanOrEqual">
      <formula>H24</formula>
    </cfRule>
  </conditionalFormatting>
  <conditionalFormatting sqref="V29">
    <cfRule type="cellIs" dxfId="4" priority="251" operator="lessThanOrEqual">
      <formula>H29</formula>
    </cfRule>
  </conditionalFormatting>
  <conditionalFormatting sqref="V31">
    <cfRule type="cellIs" dxfId="4" priority="257" operator="lessThanOrEqual">
      <formula>H31</formula>
    </cfRule>
  </conditionalFormatting>
  <conditionalFormatting sqref="V33">
    <cfRule type="cellIs" dxfId="4" priority="262" operator="lessThanOrEqual">
      <formula>H33</formula>
    </cfRule>
  </conditionalFormatting>
  <conditionalFormatting sqref="V9">
    <cfRule type="cellIs" dxfId="4" priority="204" operator="lessThanOrEqual">
      <formula>H9</formula>
    </cfRule>
  </conditionalFormatting>
  <conditionalFormatting sqref="W12">
    <cfRule type="cellIs" dxfId="4" priority="209" operator="lessThanOrEqual">
      <formula>I12</formula>
    </cfRule>
  </conditionalFormatting>
  <conditionalFormatting sqref="W13">
    <cfRule type="cellIs" dxfId="4" priority="215" operator="lessThanOrEqual">
      <formula>I13</formula>
    </cfRule>
  </conditionalFormatting>
  <conditionalFormatting sqref="W16">
    <cfRule type="cellIs" dxfId="4" priority="221" operator="lessThanOrEqual">
      <formula>I16</formula>
    </cfRule>
  </conditionalFormatting>
  <conditionalFormatting sqref="W18">
    <cfRule type="cellIs" dxfId="4" priority="226" operator="lessThanOrEqual">
      <formula>I18</formula>
    </cfRule>
  </conditionalFormatting>
  <conditionalFormatting sqref="W22">
    <cfRule type="cellIs" dxfId="4" priority="232" operator="lessThanOrEqual">
      <formula>I22</formula>
    </cfRule>
  </conditionalFormatting>
  <conditionalFormatting sqref="W23">
    <cfRule type="cellIs" dxfId="4" priority="238" operator="lessThanOrEqual">
      <formula>I23</formula>
    </cfRule>
  </conditionalFormatting>
  <conditionalFormatting sqref="W24">
    <cfRule type="cellIs" dxfId="4" priority="244" operator="lessThanOrEqual">
      <formula>I24</formula>
    </cfRule>
  </conditionalFormatting>
  <conditionalFormatting sqref="W29">
    <cfRule type="cellIs" dxfId="4" priority="250" operator="lessThanOrEqual">
      <formula>I29</formula>
    </cfRule>
  </conditionalFormatting>
  <conditionalFormatting sqref="W31">
    <cfRule type="cellIs" dxfId="4" priority="256" operator="lessThanOrEqual">
      <formula>I31</formula>
    </cfRule>
  </conditionalFormatting>
  <conditionalFormatting sqref="W33">
    <cfRule type="cellIs" dxfId="4" priority="261" operator="lessThanOrEqual">
      <formula>I33</formula>
    </cfRule>
  </conditionalFormatting>
  <conditionalFormatting sqref="W9">
    <cfRule type="cellIs" dxfId="4" priority="203" operator="lessThanOrEqual">
      <formula>I9</formula>
    </cfRule>
  </conditionalFormatting>
  <conditionalFormatting sqref="Y14">
    <cfRule type="cellIs" dxfId="1" priority="263" operator="equal">
      <formula>0</formula>
    </cfRule>
    <cfRule type="cellIs" dxfId="2" priority="264" operator="lessThan">
      <formula>G14</formula>
    </cfRule>
  </conditionalFormatting>
  <conditionalFormatting sqref="Z14">
    <cfRule type="expression" dxfId="3" priority="265">
      <formula>AND(Z14&gt;0,Z14&lt;5)</formula>
    </cfRule>
    <cfRule type="cellIs" dxfId="1" priority="266" operator="greaterThan">
      <formula>Y14</formula>
    </cfRule>
  </conditionalFormatting>
  <hyperlinks>
    <hyperlink ref="F8" r:id="rId1"/>
    <hyperlink ref="S8" r:id="rId2"/>
    <hyperlink ref="AH8" r:id="rId3"/>
    <hyperlink ref="F9" r:id="rId4"/>
    <hyperlink ref="S9" r:id="rId5"/>
    <hyperlink ref="X9" r:id="rId6"/>
    <hyperlink ref="AH9" r:id="rId7"/>
    <hyperlink ref="AM9" r:id="rId8"/>
    <hyperlink ref="F10" r:id="rId9"/>
    <hyperlink ref="S10" r:id="rId10"/>
    <hyperlink ref="AH10" r:id="rId11"/>
    <hyperlink ref="AM10" r:id="rId12"/>
    <hyperlink ref="F12" r:id="rId13"/>
    <hyperlink ref="S12" r:id="rId14"/>
    <hyperlink ref="X12" r:id="rId15"/>
    <hyperlink ref="AH12" r:id="rId16"/>
    <hyperlink ref="AM12" r:id="rId17"/>
    <hyperlink ref="AR12" r:id="rId18"/>
    <hyperlink ref="S13" r:id="rId19"/>
    <hyperlink ref="X13" r:id="rId20"/>
    <hyperlink ref="AH13" r:id="rId21"/>
    <hyperlink ref="AM13" r:id="rId22"/>
    <hyperlink ref="F14" r:id="rId23"/>
    <hyperlink ref="S14" r:id="rId24"/>
    <hyperlink ref="AC14" r:id="rId25"/>
    <hyperlink ref="AH14" r:id="rId26"/>
    <hyperlink ref="AW14" r:id="rId27"/>
    <hyperlink ref="F15" r:id="rId28"/>
    <hyperlink ref="S15" r:id="rId29"/>
    <hyperlink ref="AH15" r:id="rId30"/>
    <hyperlink ref="AM15" r:id="rId31"/>
    <hyperlink ref="F16" r:id="rId32"/>
    <hyperlink ref="S16" r:id="rId33"/>
    <hyperlink ref="X16" r:id="rId34"/>
    <hyperlink ref="AH16" r:id="rId35"/>
    <hyperlink ref="AM16" r:id="rId36"/>
    <hyperlink ref="AW16" r:id="rId37"/>
    <hyperlink ref="F18" r:id="rId38"/>
    <hyperlink ref="S18" r:id="rId39"/>
    <hyperlink ref="X18" r:id="rId40"/>
    <hyperlink ref="AH18" r:id="rId41"/>
    <hyperlink ref="AM18" r:id="rId42"/>
    <hyperlink ref="AW18" r:id="rId43"/>
    <hyperlink ref="F20" r:id="rId44"/>
    <hyperlink ref="F21" r:id="rId45"/>
    <hyperlink ref="S22" r:id="rId46"/>
    <hyperlink ref="X22" r:id="rId47"/>
    <hyperlink ref="AH22" r:id="rId48"/>
    <hyperlink ref="AM22" r:id="rId49"/>
    <hyperlink ref="S23" r:id="rId50"/>
    <hyperlink ref="X23" r:id="rId51"/>
    <hyperlink ref="AH23" r:id="rId52"/>
    <hyperlink ref="AM23" r:id="rId53"/>
    <hyperlink ref="F24" r:id="rId54"/>
    <hyperlink ref="S24" r:id="rId55"/>
    <hyperlink ref="X24" r:id="rId56"/>
    <hyperlink ref="AH24" r:id="rId57"/>
    <hyperlink ref="AM24" r:id="rId58"/>
    <hyperlink ref="S26" r:id="rId59"/>
    <hyperlink ref="F29" r:id="rId60"/>
    <hyperlink ref="S29" r:id="rId61"/>
    <hyperlink ref="X29" r:id="rId62"/>
    <hyperlink ref="AM29" r:id="rId63"/>
    <hyperlink ref="S31" r:id="rId64"/>
    <hyperlink ref="X31" r:id="rId65"/>
    <hyperlink ref="AH31" r:id="rId66"/>
    <hyperlink ref="AM31" r:id="rId67"/>
    <hyperlink ref="S32" r:id="rId68"/>
    <hyperlink ref="S33" r:id="rId69"/>
    <hyperlink ref="X33" r:id="rId70"/>
    <hyperlink ref="AH33" r:id="rId71"/>
    <hyperlink ref="AM33" r:id="rId72"/>
  </hyperlinks>
  <pageMargins left="0.7" right="0.7" top="0.75" bottom="0.75" header="0.3" footer="0.3"/>
  <legacyDrawing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MainBoard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2021-08-06T05:52:49Z</dcterms:created>
  <dcterms:modified xsi:type="dcterms:W3CDTF">2021-08-06T05:52:49Z</dcterms:modified>
</cp:coreProperties>
</file>