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Board. " sheetId="1" r:id="rId1"/>
  </sheets>
  <definedNames>
    <definedName name="BoardQty">'MainBoard. '!$I$1</definedName>
    <definedName name="digikey_part_data">'MainBoard. '!$J$5:$N$35</definedName>
    <definedName name="global_part_data">'MainBoard. '!$A$5:$I$35</definedName>
    <definedName name="mouser_part_data">'MainBoard. '!$O$5:$S$35</definedName>
    <definedName name="PURCHASE_DESCRIPTION">'MainBoard. '!$I$38</definedName>
    <definedName name="TotalCost">'MainBoard. '!$I$3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H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L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$0.30
    50   $0.02      $0.82
   100   $0.01      $1.35
   500   $0.01      $4.81
  1000   $0.01      $7.56
  2500   $0.01     $17.18
  5000   $0.01     $31.60
 10000   $0.01     $57.70</t>
        </r>
      </text>
    </comment>
    <comment ref="Q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$0.23
    50   $0.02      $1.15
   100   $0.02      $1.60
  1000   $0.01      $9.00
 10000   $0.01     $60.00</t>
        </r>
      </text>
    </comment>
    <comment ref="L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$0.08      $0.77
  4000   $0.08    $306.24</t>
        </r>
      </text>
    </comment>
    <comment ref="Q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$0.52      $0.52
    10   $0.37      $3.66
    50   $0.37     $18.30
   100   $0.22     $22.00
  1000   $0.15    $152.00
 10000   $0.15  $1,470.00</t>
        </r>
      </text>
    </comment>
    <comment ref="J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$1.19      $1.19
    10   $0.94      $9.39
    50   $0.81     $40.71
   100   $0.70     $70.46
   500   $0.53    $266.17</t>
        </r>
      </text>
    </comment>
    <comment ref="O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$1.15      $1.15
    10   $0.85      $8.53
    50   $0.85     $42.65
   100   $0.70     $70.50
  1000   $0.60    $605.00
 10000   $0.47  $4,700.00</t>
        </r>
      </text>
    </comment>
    <comment ref="L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$0.08      $0.77
  4000   $0.08    $306.24</t>
        </r>
      </text>
    </comment>
    <comment ref="Q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$0.52      $0.52
    10   $0.37      $3.66
    50   $0.37     $18.30
   100   $0.22     $22.00
  1000   $0.15    $152.00
 10000   $0.15  $1,470.00</t>
        </r>
      </text>
    </comment>
    <comment ref="L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$0.11
    50   $0.01      $0.31
   100   $0.01      $0.51
   500   $0.00      $1.81
  1000   $0.00      $2.85
  2500   $0.00      $6.48
  5000   $0.00     $11.90
 15000   $0.00     $31.05</t>
        </r>
      </text>
    </comment>
    <comment ref="Q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$0.11
    50   $0.01      $0.55
   100   $0.01      $0.60
  1000   $0.00      $3.00
 10000   $0.00     $30.00</t>
        </r>
      </text>
    </comment>
    <comment ref="L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$0.22
   100   $0.02      $1.99
   500   $0.02      $8.82
 10000   $0.01    $145.70</t>
        </r>
      </text>
    </comment>
    <comment ref="O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$0.23
    50   $0.02      $1.15
   100   $0.02      $2.10
  1000   $0.02     $18.00
 10000   $0.02    $160.00</t>
        </r>
      </text>
    </comment>
    <comment ref="L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$0.49      $0.49
    10   $0.35      $3.46
    50   $0.26     $13.09
   100   $0.23     $22.79
   500   $0.17     $84.42
  1000   $0.14    $143.52
  2000   $0.13    $267.68</t>
        </r>
      </text>
    </comment>
    <comment ref="Q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$0.50      $0.50
    10   $0.29      $2.89
    50   $0.29     $14.45
   100   $0.23     $23.10
  1000   $0.16    $162.00
 10000   $0.16  $1,570.00</t>
        </r>
      </text>
    </comment>
    <comment ref="L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10   $0.32      $3.15
    50   $0.22     $11.03
   100   $0.19     $18.91
   500   $0.14     $70.90
  1000   $0.12    $119.74
  2500   $0.11    $283.60
  5000   $0.11    $535.65
 15000   $0.10  $1,465.20</t>
        </r>
      </text>
    </comment>
    <comment ref="Q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$0.50      $0.50
    10   $0.35      $3.46
    50   $0.35     $17.30
   100   $0.21     $20.80
  1000   $0.13    $132.00
 10000   $0.09    $940.00</t>
        </r>
      </text>
    </comment>
    <comment ref="L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$0.08      $0.84
   100   $0.05      $4.55
   500   $0.03     $13.99
  1000   $0.02     $19.08
  2000   $0.02     $32.44
  5000   $0.01     $73.15
 10000   $0.01    $127.20
 50000   $0.01    $525.00</t>
        </r>
      </text>
    </comment>
    <comment ref="Q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$0.09      $0.87
    50   $0.09      $4.35
   100   $0.05      $4.80
  1000   $0.02     $20.00
 10000   $0.01    $130.00</t>
        </r>
      </text>
    </comment>
    <comment ref="L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$0.41      $0.41
    10   $0.33      $3.34
    25   $0.31      $7.63
   100   $0.23     $22.73
   250   $0.21     $51.49
   500   $0.17     $85.22
  1000   $0.13    $127.84
  2500   $0.12    $293.12</t>
        </r>
      </text>
    </comment>
    <comment ref="Q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$0.41      $0.41
    10   $0.33      $3.34
    50   $0.33     $16.70
   100   $0.33     $33.40
  1000   $0.33    $334.00
 10000   $0.33  $3,340.00</t>
        </r>
      </text>
    </comment>
    <comment ref="J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$1.39      $1.39
    10   $1.18     $11.76
    25   $1.13     $28.20
    50   $1.10     $55.20
   100   $1.06    $105.60
   250   $0.96    $240.00
   500   $0.86    $432.00
  1000   $0.77    $768.00
  2500   $0.70  $1,740.00</t>
        </r>
      </text>
    </comment>
    <comment ref="Q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$0.86      $0.86
    10   $0.80      $7.95
    50   $0.78     $38.80
   100   $0.69     $68.60
  1000   $0.69    $686.00
 10000   $0.69  $6,860.00</t>
        </r>
      </text>
    </comment>
    <comment ref="L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$0.19
   100   $0.01      $0.75
  1000   $0.00      $3.38
  2500   $0.00      $7.35
  5000   $0.00     $12.15
 10000   $0.00     $21.10</t>
        </r>
      </text>
    </comment>
    <comment ref="Q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$0.80
  1000   $0.00      $4.00
 10000   $0.00     $20.00</t>
        </r>
      </text>
    </comment>
    <comment ref="L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$0.43      $0.43
    10   $0.33      $3.27
   100   $0.14     $13.74
  1000   $0.08     $75.81
  4000   $0.07    $284.28</t>
        </r>
      </text>
    </comment>
    <comment ref="O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$0.43      $0.43
    10   $0.33      $3.27
    50   $0.33     $16.35
   100   $0.14     $14.20
  1000   $0.08     $76.00
 10000   $0.07    $700.00</t>
        </r>
      </text>
    </comment>
    <comment ref="J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1000   $0.07     $66.30
  5000   $0.06    $277.90
 10000   $0.05    $530.40</t>
        </r>
      </text>
    </comment>
    <comment ref="L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$1.03      $1.03
    10   $0.91      $9.09
   100   $0.66     $65.98
  1000   $0.39    $390.02
  4000   $0.38  $1,524.92</t>
        </r>
      </text>
    </comment>
    <comment ref="Q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$1.03      $1.03
    10   $0.91      $9.09
    50   $0.91     $45.45
   100   $0.66     $66.00
  1000   $0.37    $367.00
 10000   $0.32  $3,190.00</t>
        </r>
      </text>
    </comment>
    <comment ref="J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1000   $0.07     $66.30
  5000   $0.06    $277.90
 10000   $0.05    $530.40</t>
        </r>
      </text>
    </comment>
    <comment ref="L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$0.08      $0.75
   100   $0.03      $2.88
  1000   $0.01     $12.65
  2500   $0.01     $27.30
  5000   $0.01     $48.90
 10000   $0.01     $87.70</t>
        </r>
      </text>
    </comment>
    <comment ref="L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$0.41
    25   $0.04      $0.96
    50   $0.03      $1.42
   100   $0.02      $2.44
   250   $0.02      $5.89
   500   $0.02     $10.16
  1000   $0.02     $18.29
  2500   $0.02     $40.65
  5000   $0.02     $77.25
 10000   $0.01    $146.40
 15000   $0.01    $213.45
 25000   $0.01    $325.25
 50000   $0.01    $589.50</t>
        </r>
      </text>
    </comment>
    <comment ref="Q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$0.12      $1.15
    50   $0.12      $5.75
   100   $0.04      $4.50
  1000   $0.02     $20.00
 10000   $0.01    $120.00</t>
        </r>
      </text>
    </comment>
    <comment ref="L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$0.36
   100   $0.01      $1.46
  1000   $0.01      $6.55
  2500   $0.01     $14.22
  5000   $0.00     $23.50</t>
        </r>
      </text>
    </comment>
    <comment ref="L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$7.41      $7.41
    10   $6.67     $66.71
    25   $6.34    $158.39
    50   $6.07    $303.37
   100   $5.87    $586.63
   250   $5.56  $1,391.16
   500   $5.10  $2,547.66
  1000   $4.86  $4,860.68</t>
        </r>
      </text>
    </comment>
    <comment ref="O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$7.28      $7.28
    10   $6.63     $66.30
    50   $6.13    $306.50
   100   $5.97    $597.00
  1000   $4.81  $4,810.00
 10000   $4.81 $48,100.00</t>
        </r>
      </text>
    </comment>
    <comment ref="H37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K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P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H38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<sst xmlns="http://schemas.openxmlformats.org/spreadsheetml/2006/main" count="234" uniqueCount="162">
  <si>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</si>
  <si>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</si>
  <si>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</si>
  <si>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</si>
  <si>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</si>
  <si>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</si>
  <si>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</si>
  <si>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</si>
  <si>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</si>
  <si>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</si>
  <si>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C1</t>
  </si>
  <si>
    <t>20n</t>
  </si>
  <si>
    <t>C_0402_1005Metric_Pad0.74x0.62mm_HandSolder</t>
  </si>
  <si>
    <t>399-C0402C224M8RACTUTR-ND</t>
  </si>
  <si>
    <t>C10</t>
  </si>
  <si>
    <t>0u1</t>
  </si>
  <si>
    <t>C_0201_0603Metric_Pad0.64x0.40mm_HandSolder</t>
  </si>
  <si>
    <t>CL03A104MP3NNNC</t>
  </si>
  <si>
    <t>C11</t>
  </si>
  <si>
    <t>10u</t>
  </si>
  <si>
    <t>C_0603_1608Metric_Pad1.08x0.95mm_HandSolder</t>
  </si>
  <si>
    <t>0603ZD106KAT2A</t>
  </si>
  <si>
    <t>C12</t>
  </si>
  <si>
    <t>100u</t>
  </si>
  <si>
    <t>C_1210_3225Metric_Pad1.33x2.70mm_HandSolder</t>
  </si>
  <si>
    <t>LMK325ABJ107MM-T</t>
  </si>
  <si>
    <t>C2,C8</t>
  </si>
  <si>
    <t>1u</t>
  </si>
  <si>
    <t>C3,C4</t>
  </si>
  <si>
    <t>50p</t>
  </si>
  <si>
    <t>GRM0335C1E470JA01D</t>
  </si>
  <si>
    <t>C5</t>
  </si>
  <si>
    <t>0u22</t>
  </si>
  <si>
    <t>885012105011</t>
  </si>
  <si>
    <t>C7</t>
  </si>
  <si>
    <t>47u</t>
  </si>
  <si>
    <t>C_1206_3216Metric_Pad1.33x1.80mm_HandSolder</t>
  </si>
  <si>
    <t>CL31A476MPHNNNE</t>
  </si>
  <si>
    <t>C9</t>
  </si>
  <si>
    <t>220n</t>
  </si>
  <si>
    <t>12065C204KAT4A</t>
  </si>
  <si>
    <t>D1,D2,D5</t>
  </si>
  <si>
    <t>1N914</t>
  </si>
  <si>
    <t>D_DO-35_SOD27_P2.54mm_Vertical_AnodeUp</t>
  </si>
  <si>
    <t>D4</t>
  </si>
  <si>
    <t>QBL8XX60D</t>
  </si>
  <si>
    <t>LED_5mm_Radial</t>
  </si>
  <si>
    <t>IC1</t>
  </si>
  <si>
    <t>RC4558</t>
  </si>
  <si>
    <t>SOIC-8_W3.9mm</t>
  </si>
  <si>
    <t>RC4558D</t>
  </si>
  <si>
    <t>J1,J2</t>
  </si>
  <si>
    <t>ACJM-HHDR</t>
  </si>
  <si>
    <t>J3</t>
  </si>
  <si>
    <t>PJ-102A</t>
  </si>
  <si>
    <t>CONN PWR JACK 2X5.5MM SOLDER</t>
  </si>
  <si>
    <t>Barrel_Jack_5.5mmODx2.1mmID_PJ-102A</t>
  </si>
  <si>
    <t>CUI Inc.</t>
  </si>
  <si>
    <t>CP-102A-ND</t>
  </si>
  <si>
    <t>Q1,Q2</t>
  </si>
  <si>
    <t>2N4401BU</t>
  </si>
  <si>
    <t>TRANS NPN 40V 0.6A TO-92</t>
  </si>
  <si>
    <t>TO-92-3</t>
  </si>
  <si>
    <t>ON Semiconductor</t>
  </si>
  <si>
    <t>2N4401-ND</t>
  </si>
  <si>
    <t>R1,R8,R17,R18,R23</t>
  </si>
  <si>
    <t>1k</t>
  </si>
  <si>
    <t>R_0402_1005Metric_Pad0.72x0.64mm_HandSolder</t>
  </si>
  <si>
    <t>CRGCQ0402J1K0</t>
  </si>
  <si>
    <t>R11</t>
  </si>
  <si>
    <t>220</t>
  </si>
  <si>
    <t>R_2512_6332Metric_Pad1.40x3.35mm_HandSolder</t>
  </si>
  <si>
    <t>ERJ-1TYJ221U</t>
  </si>
  <si>
    <t>R12</t>
  </si>
  <si>
    <t>510k</t>
  </si>
  <si>
    <t>R_0805_2012Metric_Pad1.20x1.40mm_HandSolder</t>
  </si>
  <si>
    <t>RN73R2ATTD5053F100</t>
  </si>
  <si>
    <t>R15</t>
  </si>
  <si>
    <t>100</t>
  </si>
  <si>
    <t>R_1218_3246Metric_Pad1.22x4.75mm_HandSolder</t>
  </si>
  <si>
    <t>CRCW1218100RFKEKHP</t>
  </si>
  <si>
    <t>R19</t>
  </si>
  <si>
    <t>500ka</t>
  </si>
  <si>
    <t>PinHeader_1x03_P2.54mm_Vertical</t>
  </si>
  <si>
    <t>https://www.bourns.com/docs/Product-Datasheets/PTV09.pdf</t>
  </si>
  <si>
    <t>R2</t>
  </si>
  <si>
    <t>505k</t>
  </si>
  <si>
    <t>R20</t>
  </si>
  <si>
    <t>20kb</t>
  </si>
  <si>
    <t>R21</t>
  </si>
  <si>
    <t>20ka</t>
  </si>
  <si>
    <t>R22</t>
  </si>
  <si>
    <t>1M5</t>
  </si>
  <si>
    <t>ERJ-U02J155X</t>
  </si>
  <si>
    <t>R3,R5,R9,R10,R13,R14,R16</t>
  </si>
  <si>
    <t>10k</t>
  </si>
  <si>
    <t>RG20N470KWTR-ND</t>
  </si>
  <si>
    <t>R6</t>
  </si>
  <si>
    <t>4k7</t>
  </si>
  <si>
    <t>CRGH0805F4K7</t>
  </si>
  <si>
    <t>R7</t>
  </si>
  <si>
    <t>51k</t>
  </si>
  <si>
    <t>R_1206_3216Metric_Pad1.30x1.75mm_HandSolder</t>
  </si>
  <si>
    <t>RMCF1206FT51K0</t>
  </si>
  <si>
    <t>SW1</t>
  </si>
  <si>
    <t>FS57003PLT2B2M2QE</t>
  </si>
  <si>
    <t>SW_PUSH_E-Switch_FS57003PLT_3PDT</t>
  </si>
  <si>
    <t>V1,V2</t>
  </si>
  <si>
    <t>VSOURCE</t>
  </si>
  <si>
    <t>Total Purchase:</t>
  </si>
  <si>
    <t>Purchase description:</t>
  </si>
  <si>
    <t>Prj:</t>
  </si>
  <si>
    <t>Screaming Panda Guitar Pedal</t>
  </si>
  <si>
    <t>Co.:</t>
  </si>
  <si>
    <t>John McAvoy</t>
  </si>
  <si>
    <t>Prj date:</t>
  </si>
  <si>
    <t>Wed 11 Aug 2021 10:45:52 PM PDT</t>
  </si>
  <si>
    <t>Board Qty:</t>
  </si>
  <si>
    <t>Total Cost:</t>
  </si>
  <si>
    <t>Unit Cost:</t>
  </si>
  <si>
    <t>$ date:</t>
  </si>
  <si>
    <t>2021-08-11 22:46:41</t>
  </si>
  <si>
    <t>Digi-Key</t>
  </si>
  <si>
    <t>Avail</t>
  </si>
  <si>
    <t>Purch</t>
  </si>
  <si>
    <t>Cat#</t>
  </si>
  <si>
    <t>1276-1321-1-ND</t>
  </si>
  <si>
    <t>478-10766-1-ND</t>
  </si>
  <si>
    <t>587-6152-1-ND</t>
  </si>
  <si>
    <t>NonStk</t>
  </si>
  <si>
    <t>490-1256-1-ND</t>
  </si>
  <si>
    <t>732-7488-1-ND</t>
  </si>
  <si>
    <t>1276-3063-1-ND</t>
  </si>
  <si>
    <t>478-12065C204KAT4ACT-ND</t>
  </si>
  <si>
    <t>1N914FS-ND</t>
  </si>
  <si>
    <t>296-9650-5-ND</t>
  </si>
  <si>
    <t>889-ACJM-HHDR-ND</t>
  </si>
  <si>
    <t>A130048CT-ND</t>
  </si>
  <si>
    <t>PT220XCT-ND</t>
  </si>
  <si>
    <t>2019-RN73R2ATTD5053F100CT-ND</t>
  </si>
  <si>
    <t>541-100ANCT-ND</t>
  </si>
  <si>
    <t>10-ERJ-U02J155XCT-ND</t>
  </si>
  <si>
    <t>A129546CT-ND</t>
  </si>
  <si>
    <t>RMCF1206FT51K0CT-ND</t>
  </si>
  <si>
    <t>EG5492-ND</t>
  </si>
  <si>
    <t>Mouser</t>
  </si>
  <si>
    <t>187CL03A104MP3NNNC</t>
  </si>
  <si>
    <t>5810603ZD106KAT2A</t>
  </si>
  <si>
    <t>963LMK325ABJ107MMT</t>
  </si>
  <si>
    <t>81GRM0335C1E470JA1D</t>
  </si>
  <si>
    <t>710885012105011</t>
  </si>
  <si>
    <t>187CL31A476MPHNNNE</t>
  </si>
  <si>
    <t>58112065C204KAT4A</t>
  </si>
  <si>
    <t>5121N914</t>
  </si>
  <si>
    <t>595RC4558D</t>
  </si>
  <si>
    <t>523ACJMHHDR</t>
  </si>
  <si>
    <t>279CRGCQ0402J1K0</t>
  </si>
  <si>
    <t>667ERJ1TYJ221U</t>
  </si>
  <si>
    <t>71CRCW1218100RFKEKH</t>
  </si>
  <si>
    <t>279CRGH0805F4K7</t>
  </si>
  <si>
    <t>612FS573PLT2B2M2QE</t>
  </si>
  <si>
    <t>KiCost® v.1.1.4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</si>
</sst>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kemet.com/component-edge/download/datasheet/C0402C224M8RACTU.pdf" TargetMode="External"/><Relationship Id="rId2" Type="http://schemas.openxmlformats.org/officeDocument/2006/relationships/hyperlink" Target="http://www.samsungsem.com/kr/support/product-search/mlcc/CL03A104MP3NNNC.jsp" TargetMode="External"/><Relationship Id="rId3" Type="http://schemas.openxmlformats.org/officeDocument/2006/relationships/hyperlink" Target="https://octopart.com/click/track?ai=8078&amp;sig=0522ecc&amp;sid=459&amp;ppid=21548412&amp;vpid=72521912&amp;ct=offers" TargetMode="External"/><Relationship Id="rId4" Type="http://schemas.openxmlformats.org/officeDocument/2006/relationships/hyperlink" Target="https://octopart.com/click/track?ai=8078&amp;sig=0df3b77&amp;sid=2401&amp;ppid=21548412&amp;vpid=659500580&amp;ct=offers" TargetMode="External"/><Relationship Id="rId5" Type="http://schemas.openxmlformats.org/officeDocument/2006/relationships/hyperlink" Target="https://datasheets.avx.com/cx5r.pdf" TargetMode="External"/><Relationship Id="rId6" Type="http://schemas.openxmlformats.org/officeDocument/2006/relationships/hyperlink" Target="https://octopart.com/click/track?ai=8078&amp;sig=08deb4e&amp;sid=459&amp;ppid=71360729&amp;vpid=440762113&amp;ct=offers" TargetMode="External"/><Relationship Id="rId7" Type="http://schemas.openxmlformats.org/officeDocument/2006/relationships/hyperlink" Target="https://octopart.com/click/track?ai=8078&amp;sig=06c8fa3&amp;sid=2401&amp;ppid=71360729&amp;vpid=423377967&amp;ct=offers" TargetMode="External"/><Relationship Id="rId8" Type="http://schemas.openxmlformats.org/officeDocument/2006/relationships/hyperlink" Target="https://www.yuden.co.jp/productdata/catalog/mlcc06_e.pdf" TargetMode="External"/><Relationship Id="rId9" Type="http://schemas.openxmlformats.org/officeDocument/2006/relationships/hyperlink" Target="https://octopart.com/click/track?c=1&amp;ai=8078&amp;sig=0b67670&amp;sid=459&amp;ppid=27587928&amp;vpid=476839147&amp;ct=offers" TargetMode="External"/><Relationship Id="rId10" Type="http://schemas.openxmlformats.org/officeDocument/2006/relationships/hyperlink" Target="https://octopart.com/click/track?c=1&amp;ai=8078&amp;sig=061a032&amp;sid=2401&amp;ppid=27587928&amp;vpid=252059597&amp;ct=offers" TargetMode="External"/><Relationship Id="rId11" Type="http://schemas.openxmlformats.org/officeDocument/2006/relationships/hyperlink" Target="https://datasheets.avx.com/cx5r.pdf" TargetMode="External"/><Relationship Id="rId12" Type="http://schemas.openxmlformats.org/officeDocument/2006/relationships/hyperlink" Target="https://octopart.com/click/track?ai=8078&amp;sig=08deb4e&amp;sid=459&amp;ppid=71360729&amp;vpid=440762113&amp;ct=offers" TargetMode="External"/><Relationship Id="rId13" Type="http://schemas.openxmlformats.org/officeDocument/2006/relationships/hyperlink" Target="https://octopart.com/click/track?ai=8078&amp;sig=06c8fa3&amp;sid=2401&amp;ppid=71360729&amp;vpid=423377967&amp;ct=offers" TargetMode="External"/><Relationship Id="rId14" Type="http://schemas.openxmlformats.org/officeDocument/2006/relationships/hyperlink" Target="https://search.murata.co.jp/Ceramy/image/img/A01X/G101/ENG/GRM0335C1E470JA01-01.pdf" TargetMode="External"/><Relationship Id="rId15" Type="http://schemas.openxmlformats.org/officeDocument/2006/relationships/hyperlink" Target="https://octopart.com/click/track?ai=8078&amp;sig=0821a37&amp;sid=459&amp;ppid=22851373&amp;vpid=77975366&amp;ct=offers" TargetMode="External"/><Relationship Id="rId16" Type="http://schemas.openxmlformats.org/officeDocument/2006/relationships/hyperlink" Target="https://octopart.com/click/track?ai=8078&amp;sig=0f25639&amp;sid=2401&amp;ppid=22851373&amp;vpid=82014719&amp;ct=offers" TargetMode="External"/><Relationship Id="rId17" Type="http://schemas.openxmlformats.org/officeDocument/2006/relationships/hyperlink" Target="https://octopart.com/click/track?ai=8078&amp;sig=0c50113&amp;sid=459&amp;ppid=53703132&amp;vpid=229678670&amp;ct=offers" TargetMode="External"/><Relationship Id="rId18" Type="http://schemas.openxmlformats.org/officeDocument/2006/relationships/hyperlink" Target="https://octopart.com/click/track?c=1&amp;ai=8078&amp;sig=03e94f4&amp;sid=2401&amp;ppid=53703132&amp;vpid=419809225&amp;ct=offers" TargetMode="External"/><Relationship Id="rId19" Type="http://schemas.openxmlformats.org/officeDocument/2006/relationships/hyperlink" Target="https://media.digikey.com/pdf/Data%20Sheets/Samsung%20PDFs/CL31A476MPHNNNE_Spec.pdf" TargetMode="External"/><Relationship Id="rId20" Type="http://schemas.openxmlformats.org/officeDocument/2006/relationships/hyperlink" Target="https://octopart.com/click/track?ai=8078&amp;sig=05594e8&amp;sid=459&amp;ppid=21779777&amp;vpid=72527890&amp;ct=offers" TargetMode="External"/><Relationship Id="rId21" Type="http://schemas.openxmlformats.org/officeDocument/2006/relationships/hyperlink" Target="https://octopart.com/click/track?ai=8078&amp;sig=09a453b&amp;sid=2401&amp;ppid=21779777&amp;vpid=659501911&amp;ct=offers" TargetMode="External"/><Relationship Id="rId22" Type="http://schemas.openxmlformats.org/officeDocument/2006/relationships/hyperlink" Target="https://datasheets.avx.com/X7RDielectric.pdf" TargetMode="External"/><Relationship Id="rId23" Type="http://schemas.openxmlformats.org/officeDocument/2006/relationships/hyperlink" Target="https://octopart.com/click/track?ai=8078&amp;sig=02420a4&amp;sid=459&amp;ppid=8665604&amp;vpid=647100705&amp;ct=offers" TargetMode="External"/><Relationship Id="rId24" Type="http://schemas.openxmlformats.org/officeDocument/2006/relationships/hyperlink" Target="https://octopart.com/click/track?ai=8078&amp;sig=0523cd7&amp;sid=2401&amp;ppid=8665604&amp;vpid=87602653&amp;ct=offers" TargetMode="External"/><Relationship Id="rId25" Type="http://schemas.openxmlformats.org/officeDocument/2006/relationships/hyperlink" Target="http://www.vishay.com/docs/85622/1n914.pdf" TargetMode="External"/><Relationship Id="rId26" Type="http://schemas.openxmlformats.org/officeDocument/2006/relationships/hyperlink" Target="https://octopart.com/click/track?ai=8078&amp;sig=064aef2&amp;sid=459&amp;ppid=84323160&amp;vpid=452456919&amp;ct=offers" TargetMode="External"/><Relationship Id="rId27" Type="http://schemas.openxmlformats.org/officeDocument/2006/relationships/hyperlink" Target="https://octopart.com/click/track?ai=8078&amp;sig=0f6afa8&amp;sid=2401&amp;ppid=84323160&amp;vpid=438579435&amp;ct=offers" TargetMode="External"/><Relationship Id="rId28" Type="http://schemas.openxmlformats.org/officeDocument/2006/relationships/hyperlink" Target="http://www.ti.com/lit/ds/symlink/rc4558.pdf" TargetMode="External"/><Relationship Id="rId29" Type="http://schemas.openxmlformats.org/officeDocument/2006/relationships/hyperlink" Target="https://octopart.com/click/track?ai=8078&amp;sig=0b9bad3&amp;sid=459&amp;ppid=34634&amp;vpid=1285119&amp;ct=offers" TargetMode="External"/><Relationship Id="rId30" Type="http://schemas.openxmlformats.org/officeDocument/2006/relationships/hyperlink" Target="https://octopart.com/click/track?ai=8078&amp;sig=024a102&amp;sid=2401&amp;ppid=34634&amp;vpid=37662857&amp;ct=offers" TargetMode="External"/><Relationship Id="rId31" Type="http://schemas.openxmlformats.org/officeDocument/2006/relationships/hyperlink" Target="http://www.amphenolaudio.com/wp-content/uploads/2015/07/TD_m-jack.pdf" TargetMode="External"/><Relationship Id="rId32" Type="http://schemas.openxmlformats.org/officeDocument/2006/relationships/hyperlink" Target="https://octopart.com/click/track?c=1&amp;ai=8078&amp;sig=07299ce&amp;sid=459&amp;ppid=73099109&amp;vpid=583512154&amp;ct=offers" TargetMode="External"/><Relationship Id="rId33" Type="http://schemas.openxmlformats.org/officeDocument/2006/relationships/hyperlink" Target="https://octopart.com/click/track?ai=8078&amp;sig=0e7e999&amp;sid=2401&amp;ppid=73099109&amp;vpid=40866979&amp;ct=offers" TargetMode="External"/><Relationship Id="rId34" Type="http://schemas.openxmlformats.org/officeDocument/2006/relationships/hyperlink" Target="https://www.cui.com/product/resource/digikeypdf/pj-102a.pdf" TargetMode="External"/><Relationship Id="rId35" Type="http://schemas.openxmlformats.org/officeDocument/2006/relationships/hyperlink" Target="https://www.onsemi.com/pub/Collateral/MMBT4401-D.PDF" TargetMode="External"/><Relationship Id="rId36" Type="http://schemas.openxmlformats.org/officeDocument/2006/relationships/hyperlink" Target="https://octopart.com/click/track?ai=8078&amp;sig=07b8470&amp;sid=459&amp;ppid=91018000&amp;vpid=475508232&amp;ct=offers" TargetMode="External"/><Relationship Id="rId37" Type="http://schemas.openxmlformats.org/officeDocument/2006/relationships/hyperlink" Target="https://octopart.com/click/track?ai=8078&amp;sig=004b233&amp;sid=2401&amp;ppid=91018000&amp;vpid=478300850&amp;ct=offers" TargetMode="External"/><Relationship Id="rId38" Type="http://schemas.openxmlformats.org/officeDocument/2006/relationships/hyperlink" Target="https://octopart.com/click/track?ai=8078&amp;sig=0f85316&amp;sid=459&amp;ppid=55404974&amp;vpid=188379345&amp;ct=offers" TargetMode="External"/><Relationship Id="rId39" Type="http://schemas.openxmlformats.org/officeDocument/2006/relationships/hyperlink" Target="https://octopart.com/click/track?c=1&amp;ai=8078&amp;sig=016ef24&amp;sid=2401&amp;ppid=55404974&amp;vpid=193238475&amp;ct=offers" TargetMode="External"/><Relationship Id="rId40" Type="http://schemas.openxmlformats.org/officeDocument/2006/relationships/hyperlink" Target="https://media.digikey.com/pdf/Data%20Sheets/KOA%20Speer/RN73R_Type_DS.pdf" TargetMode="External"/><Relationship Id="rId41" Type="http://schemas.openxmlformats.org/officeDocument/2006/relationships/hyperlink" Target="https://octopart.com/click/track?c=1&amp;ai=8078&amp;sig=05b02bc&amp;sid=459&amp;ppid=100237765&amp;vpid=632257536&amp;ct=offers" TargetMode="External"/><Relationship Id="rId42" Type="http://schemas.openxmlformats.org/officeDocument/2006/relationships/hyperlink" Target="https://www.vishay.com/docs/20043/crcwhpe3.pdf" TargetMode="External"/><Relationship Id="rId43" Type="http://schemas.openxmlformats.org/officeDocument/2006/relationships/hyperlink" Target="https://octopart.com/click/track?ai=8078&amp;sig=01a1455&amp;sid=459&amp;ppid=45036210&amp;vpid=119644511&amp;ct=offers" TargetMode="External"/><Relationship Id="rId44" Type="http://schemas.openxmlformats.org/officeDocument/2006/relationships/hyperlink" Target="https://octopart.com/click/track?ai=8078&amp;sig=082a07a&amp;sid=2401&amp;ppid=45036210&amp;vpid=179666849&amp;ct=offers" TargetMode="External"/><Relationship Id="rId45" Type="http://schemas.openxmlformats.org/officeDocument/2006/relationships/hyperlink" Target="https://www.bourns.com/docs/Product-Datasheets/PTV09.pdf" TargetMode="External"/><Relationship Id="rId46" Type="http://schemas.openxmlformats.org/officeDocument/2006/relationships/hyperlink" Target="https://media.digikey.com/pdf/Data%20Sheets/KOA%20Speer/RN73R_Type_DS.pdf" TargetMode="External"/><Relationship Id="rId47" Type="http://schemas.openxmlformats.org/officeDocument/2006/relationships/hyperlink" Target="https://octopart.com/click/track?c=1&amp;ai=8078&amp;sig=05b02bc&amp;sid=459&amp;ppid=100237765&amp;vpid=632257536&amp;ct=offers" TargetMode="External"/><Relationship Id="rId48" Type="http://schemas.openxmlformats.org/officeDocument/2006/relationships/hyperlink" Target="https://www.bourns.com/docs/Product-Datasheets/PTV09.pdf" TargetMode="External"/><Relationship Id="rId49" Type="http://schemas.openxmlformats.org/officeDocument/2006/relationships/hyperlink" Target="https://www.bourns.com/docs/Product-Datasheets/PTV09.pdf" TargetMode="External"/><Relationship Id="rId50" Type="http://schemas.openxmlformats.org/officeDocument/2006/relationships/hyperlink" Target="https://industrial.panasonic.com/cdbs/www-data/pdf/RDP0000/AOA0000C334.pdf" TargetMode="External"/><Relationship Id="rId51" Type="http://schemas.openxmlformats.org/officeDocument/2006/relationships/hyperlink" Target="https://octopart.com/click/track?ai=8078&amp;sig=03e8553&amp;sid=459&amp;ppid=26472107&amp;vpid=623854179&amp;ct=offers" TargetMode="External"/><Relationship Id="rId52" Type="http://schemas.openxmlformats.org/officeDocument/2006/relationships/hyperlink" Target="https://www.susumu.co.jp/common/pdf/n_catalog_partition01_en.pdf" TargetMode="External"/><Relationship Id="rId53" Type="http://schemas.openxmlformats.org/officeDocument/2006/relationships/hyperlink" Target="https://octopart.com/click/track?ai=8078&amp;sig=0faba59&amp;sid=459&amp;ppid=29717496&amp;vpid=474079055&amp;ct=offers" TargetMode="External"/><Relationship Id="rId54" Type="http://schemas.openxmlformats.org/officeDocument/2006/relationships/hyperlink" Target="https://octopart.com/click/track?ai=8078&amp;sig=02a296b&amp;sid=2401&amp;ppid=29717496&amp;vpid=431538235&amp;ct=offers" TargetMode="External"/><Relationship Id="rId55" Type="http://schemas.openxmlformats.org/officeDocument/2006/relationships/hyperlink" Target="https://www.seielect.com/catalog/sei-rmcf_rmcp.pdf" TargetMode="External"/><Relationship Id="rId56" Type="http://schemas.openxmlformats.org/officeDocument/2006/relationships/hyperlink" Target="https://octopart.com/click/track?ai=8078&amp;sig=0af0fee&amp;sid=459&amp;ppid=19215585&amp;vpid=452836962&amp;ct=offers" TargetMode="External"/><Relationship Id="rId57" Type="http://schemas.openxmlformats.org/officeDocument/2006/relationships/hyperlink" Target="https://octopart.com/click/track?ai=8078&amp;sig=0525b98&amp;sid=459&amp;ppid=81236039&amp;vpid=419089387&amp;ct=offers" TargetMode="External"/><Relationship Id="rId58" Type="http://schemas.openxmlformats.org/officeDocument/2006/relationships/hyperlink" Target="https://octopart.com/click/track?c=1&amp;ai=8078&amp;sig=048ad5a&amp;sid=2401&amp;ppid=81236039&amp;vpid=449043329&amp;ct=offers" TargetMode="External"/><Relationship Id="rId59" Type="http://schemas.openxmlformats.org/officeDocument/2006/relationships/vmlDrawing" Target="../drawings/vmlDrawing1.vml"/><Relationship Id="rId6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 outlineLevel="2"/>
    <col min="5" max="5" width="9.140625" outlineLevel="1"/>
    <col min="6" max="6" width="9.140625" outlineLevel="1"/>
    <col min="7" max="7" width="9.140625" outlineLevel="1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15.7109375" customWidth="1" outlineLevel="2"/>
    <col min="15" max="15" width="9.140625" outlineLevel="1"/>
    <col min="16" max="16" width="9.140625" outlineLevel="2"/>
    <col min="17" max="17" width="9.140625" outlineLevel="2"/>
    <col min="18" max="18" width="15.7109375" customWidth="1"/>
    <col min="19" max="19" width="15.7109375" customWidth="1" outlineLevel="2"/>
  </cols>
  <sheetData>
    <row r="1" spans="1:19">
      <c r="A1" s="1" t="s">
        <v>111</v>
      </c>
      <c r="B1" s="2" t="s">
        <v>112</v>
      </c>
      <c r="H1" s="3" t="s">
        <v>117</v>
      </c>
      <c r="I1" s="3">
        <v>100</v>
      </c>
    </row>
    <row r="2" spans="1:19">
      <c r="A2" s="1" t="s">
        <v>113</v>
      </c>
      <c r="B2" s="2" t="s">
        <v>114</v>
      </c>
      <c r="H2" s="1" t="s">
        <v>119</v>
      </c>
      <c r="I2" s="4">
        <f>TotalCost/BoardQty</f>
        <v>0</v>
      </c>
    </row>
    <row r="3" spans="1:19">
      <c r="A3" s="1" t="s">
        <v>115</v>
      </c>
      <c r="B3" s="2" t="s">
        <v>116</v>
      </c>
      <c r="H3" s="1" t="s">
        <v>118</v>
      </c>
      <c r="I3" s="5">
        <f>SUM(I7:I35)</f>
        <v>0</v>
      </c>
      <c r="M3" s="5">
        <f>SUM(M7:M35)</f>
        <v>0</v>
      </c>
      <c r="N3" s="6">
        <f>(COUNTA(M7:M35)&amp;" of "&amp;ROWS(M7:M35)&amp;" parts found"</f>
        <v>0</v>
      </c>
      <c r="R3" s="5">
        <f>SUM(R7:R35)</f>
        <v>0</v>
      </c>
      <c r="S3" s="6">
        <f>(COUNTA(R7:R35)&amp;" of "&amp;ROWS(R7:R35)&amp;" parts found"</f>
        <v>0</v>
      </c>
    </row>
    <row r="4" spans="1:19">
      <c r="A4" s="1" t="s">
        <v>120</v>
      </c>
      <c r="B4" s="2" t="s">
        <v>121</v>
      </c>
    </row>
    <row r="5" spans="1:19">
      <c r="A5" s="7" t="s">
        <v>0</v>
      </c>
      <c r="B5" s="7"/>
      <c r="C5" s="7"/>
      <c r="D5" s="7"/>
      <c r="E5" s="7"/>
      <c r="F5" s="7"/>
      <c r="G5" s="7"/>
      <c r="H5" s="7"/>
      <c r="I5" s="7"/>
      <c r="J5" s="8" t="s">
        <v>122</v>
      </c>
      <c r="K5" s="8"/>
      <c r="L5" s="8"/>
      <c r="M5" s="8"/>
      <c r="N5" s="8"/>
      <c r="O5" s="9" t="s">
        <v>145</v>
      </c>
      <c r="P5" s="9"/>
      <c r="Q5" s="9"/>
      <c r="R5" s="9"/>
      <c r="S5" s="9"/>
    </row>
    <row r="6" spans="1:19">
      <c r="A6" s="10" t="s">
        <v>1</v>
      </c>
      <c r="B6" s="10" t="s">
        <v>2</v>
      </c>
      <c r="C6" s="10" t="s">
        <v>3</v>
      </c>
      <c r="D6" s="10" t="s">
        <v>4</v>
      </c>
      <c r="E6" s="10" t="s">
        <v>5</v>
      </c>
      <c r="F6" s="10" t="s">
        <v>6</v>
      </c>
      <c r="G6" s="10" t="s">
        <v>7</v>
      </c>
      <c r="H6" s="10" t="s">
        <v>8</v>
      </c>
      <c r="I6" s="10" t="s">
        <v>9</v>
      </c>
      <c r="J6" s="10" t="s">
        <v>123</v>
      </c>
      <c r="K6" s="10" t="s">
        <v>124</v>
      </c>
      <c r="L6" s="10" t="s">
        <v>8</v>
      </c>
      <c r="M6" s="10" t="s">
        <v>9</v>
      </c>
      <c r="N6" s="10" t="s">
        <v>125</v>
      </c>
      <c r="O6" s="10" t="s">
        <v>123</v>
      </c>
      <c r="P6" s="10" t="s">
        <v>124</v>
      </c>
      <c r="Q6" s="10" t="s">
        <v>8</v>
      </c>
      <c r="R6" s="10" t="s">
        <v>9</v>
      </c>
      <c r="S6" s="10" t="s">
        <v>125</v>
      </c>
    </row>
    <row r="7" spans="1:19">
      <c r="A7" s="11" t="s">
        <v>10</v>
      </c>
      <c r="B7" s="11" t="s">
        <v>11</v>
      </c>
      <c r="D7" s="11" t="s">
        <v>12</v>
      </c>
      <c r="F7" s="11" t="s">
        <v>13</v>
      </c>
      <c r="G7" s="11">
        <f>BoardQty*1</f>
        <v>0</v>
      </c>
      <c r="H7" s="12">
        <f>MINA(INDIRECT(ADDRESS(ROW(),COLUMN(digikey_part_data)+2)),INDIRECT(ADDRESS(ROW(),COLUMN(mouser_part_data)+2)))</f>
        <v>0</v>
      </c>
      <c r="I7" s="12">
        <f>iferror(G7*H7,"")</f>
        <v>0</v>
      </c>
    </row>
    <row r="8" spans="1:19">
      <c r="A8" s="11" t="s">
        <v>14</v>
      </c>
      <c r="B8" s="11" t="s">
        <v>15</v>
      </c>
      <c r="D8" s="11" t="s">
        <v>16</v>
      </c>
      <c r="F8" s="11" t="s">
        <v>17</v>
      </c>
      <c r="G8" s="11">
        <f>BoardQty*1</f>
        <v>0</v>
      </c>
      <c r="H8" s="12">
        <f>MINA(INDIRECT(ADDRESS(ROW(),COLUMN(digikey_part_data)+2)),INDIRECT(ADDRESS(ROW(),COLUMN(mouser_part_data)+2)))</f>
        <v>0</v>
      </c>
      <c r="I8" s="12">
        <f>iferror(G8*H8,"")</f>
        <v>0</v>
      </c>
      <c r="J8" s="11">
        <v>67747</v>
      </c>
      <c r="L8" s="12">
        <f>iferror(lookup(if(K8="",G8,K8),{0,1,10,50,100,500,1000,2500,5000,10000},{0.0,0.1,0.03,0.0164,0.0135,0.00962,0.00756,0.00687,0.00632,0.00577}),"")</f>
        <v>0</v>
      </c>
      <c r="M8" s="12">
        <f>iferror(if(K8="",G8,K8)*L8,"")</f>
        <v>0</v>
      </c>
      <c r="N8" s="13" t="s">
        <v>126</v>
      </c>
      <c r="O8" s="11">
        <v>13088</v>
      </c>
      <c r="Q8" s="12">
        <f>iferror(lookup(if(P8="",G8,P8),{0,1,10,50,100,1000,10000},{0.0,0.1,0.023,0.023,0.016,0.009,0.006}),"")</f>
        <v>0</v>
      </c>
      <c r="R8" s="12">
        <f>iferror(if(P8="",G8,P8)*Q8,"")</f>
        <v>0</v>
      </c>
      <c r="S8" s="13" t="s">
        <v>146</v>
      </c>
    </row>
    <row r="9" spans="1:19">
      <c r="A9" s="11" t="s">
        <v>18</v>
      </c>
      <c r="B9" s="11" t="s">
        <v>19</v>
      </c>
      <c r="D9" s="11" t="s">
        <v>20</v>
      </c>
      <c r="F9" s="11" t="s">
        <v>21</v>
      </c>
      <c r="G9" s="11">
        <f>BoardQty*1</f>
        <v>0</v>
      </c>
      <c r="H9" s="12">
        <f>MINA(INDIRECT(ADDRESS(ROW(),COLUMN(digikey_part_data)+2)),INDIRECT(ADDRESS(ROW(),COLUMN(mouser_part_data)+2)))</f>
        <v>0</v>
      </c>
      <c r="I9" s="12">
        <f>iferror(G9*H9,"")</f>
        <v>0</v>
      </c>
      <c r="J9" s="11">
        <v>32695</v>
      </c>
      <c r="L9" s="12">
        <f>iferror(lookup(if(K9="",G9,K9),{0,1,10,4000},{0.0,0.1,0.077,0.07656}),"")</f>
        <v>0</v>
      </c>
      <c r="M9" s="12">
        <f>iferror(if(K9="",G9,K9)*L9,"")</f>
        <v>0</v>
      </c>
      <c r="N9" s="13" t="s">
        <v>127</v>
      </c>
      <c r="O9" s="11">
        <v>23808</v>
      </c>
      <c r="Q9" s="12">
        <f>iferror(lookup(if(P9="",G9,P9),{0,1,10,50,100,1000,10000},{0.0,0.52,0.366,0.366,0.22,0.152,0.147}),"")</f>
        <v>0</v>
      </c>
      <c r="R9" s="12">
        <f>iferror(if(P9="",G9,P9)*Q9,"")</f>
        <v>0</v>
      </c>
      <c r="S9" s="13" t="s">
        <v>147</v>
      </c>
    </row>
    <row r="10" spans="1:19">
      <c r="A10" s="11" t="s">
        <v>22</v>
      </c>
      <c r="B10" s="11" t="s">
        <v>23</v>
      </c>
      <c r="D10" s="11" t="s">
        <v>24</v>
      </c>
      <c r="F10" s="11" t="s">
        <v>25</v>
      </c>
      <c r="G10" s="11">
        <f>BoardQty*1</f>
        <v>0</v>
      </c>
      <c r="H10" s="12">
        <f>MINA(INDIRECT(ADDRESS(ROW(),COLUMN(digikey_part_data)+2)),INDIRECT(ADDRESS(ROW(),COLUMN(mouser_part_data)+2)))</f>
        <v>0</v>
      </c>
      <c r="I10" s="12">
        <f>iferror(G10*H10,"")</f>
        <v>0</v>
      </c>
      <c r="J10" s="14" t="s">
        <v>129</v>
      </c>
      <c r="L10" s="12">
        <f>iferror(lookup(if(K10="",G10,K10),{0,1,10,50,100,500},{0.0,1.19,0.939,0.8142,0.7046,0.53234}),"")</f>
        <v>0</v>
      </c>
      <c r="M10" s="12">
        <f>iferror(if(K10="",G10,K10)*L10,"")</f>
        <v>0</v>
      </c>
      <c r="N10" s="13" t="s">
        <v>128</v>
      </c>
      <c r="O10" s="14" t="s">
        <v>129</v>
      </c>
      <c r="Q10" s="12">
        <f>iferror(lookup(if(P10="",G10,P10),{0,1,10,50,100,1000,10000},{0.0,1.15,0.853,0.853,0.705,0.605,0.47}),"")</f>
        <v>0</v>
      </c>
      <c r="R10" s="12">
        <f>iferror(if(P10="",G10,P10)*Q10,"")</f>
        <v>0</v>
      </c>
      <c r="S10" s="13" t="s">
        <v>148</v>
      </c>
    </row>
    <row r="11" spans="1:19">
      <c r="A11" s="11" t="s">
        <v>26</v>
      </c>
      <c r="B11" s="11" t="s">
        <v>27</v>
      </c>
      <c r="D11" s="11" t="s">
        <v>20</v>
      </c>
      <c r="F11" s="11" t="s">
        <v>21</v>
      </c>
      <c r="G11" s="11">
        <f>BoardQty*2</f>
        <v>0</v>
      </c>
      <c r="H11" s="12">
        <f>MINA(INDIRECT(ADDRESS(ROW(),COLUMN(digikey_part_data)+2)),INDIRECT(ADDRESS(ROW(),COLUMN(mouser_part_data)+2)))</f>
        <v>0</v>
      </c>
      <c r="I11" s="12">
        <f>iferror(G11*H11,"")</f>
        <v>0</v>
      </c>
      <c r="J11" s="11">
        <v>32695</v>
      </c>
      <c r="L11" s="12">
        <f>iferror(lookup(if(K11="",G11,K11),{0,1,10,4000},{0.0,0.1,0.077,0.07656}),"")</f>
        <v>0</v>
      </c>
      <c r="M11" s="12">
        <f>iferror(if(K11="",G11,K11)*L11,"")</f>
        <v>0</v>
      </c>
      <c r="N11" s="13" t="s">
        <v>127</v>
      </c>
      <c r="O11" s="11">
        <v>23808</v>
      </c>
      <c r="Q11" s="12">
        <f>iferror(lookup(if(P11="",G11,P11),{0,1,10,50,100,1000,10000},{0.0,0.52,0.366,0.366,0.22,0.152,0.147}),"")</f>
        <v>0</v>
      </c>
      <c r="R11" s="12">
        <f>iferror(if(P11="",G11,P11)*Q11,"")</f>
        <v>0</v>
      </c>
      <c r="S11" s="13" t="s">
        <v>147</v>
      </c>
    </row>
    <row r="12" spans="1:19">
      <c r="A12" s="11" t="s">
        <v>28</v>
      </c>
      <c r="B12" s="11" t="s">
        <v>29</v>
      </c>
      <c r="D12" s="11" t="s">
        <v>16</v>
      </c>
      <c r="F12" s="11" t="s">
        <v>30</v>
      </c>
      <c r="G12" s="11">
        <f>BoardQty*2</f>
        <v>0</v>
      </c>
      <c r="H12" s="12">
        <f>MINA(INDIRECT(ADDRESS(ROW(),COLUMN(digikey_part_data)+2)),INDIRECT(ADDRESS(ROW(),COLUMN(mouser_part_data)+2)))</f>
        <v>0</v>
      </c>
      <c r="I12" s="12">
        <f>iferror(G12*H12,"")</f>
        <v>0</v>
      </c>
      <c r="J12" s="11">
        <v>3692476</v>
      </c>
      <c r="L12" s="12">
        <f>iferror(lookup(if(K12="",G12,K12),{0,1,10,50,100,500,1000,2500,5000,15000},{0.0,0.1,0.011,0.0062,0.0051,0.00362,0.00285,0.00259,0.00238,0.00207}),"")</f>
        <v>0</v>
      </c>
      <c r="M12" s="12">
        <f>iferror(if(K12="",G12,K12)*L12,"")</f>
        <v>0</v>
      </c>
      <c r="N12" s="13" t="s">
        <v>130</v>
      </c>
      <c r="O12" s="11">
        <v>102911</v>
      </c>
      <c r="Q12" s="12">
        <f>iferror(lookup(if(P12="",G12,P12),{0,1,10,50,100,1000,10000},{0.0,0.1,0.011,0.011,0.006,0.003,0.003}),"")</f>
        <v>0</v>
      </c>
      <c r="R12" s="12">
        <f>iferror(if(P12="",G12,P12)*Q12,"")</f>
        <v>0</v>
      </c>
      <c r="S12" s="13" t="s">
        <v>149</v>
      </c>
    </row>
    <row r="13" spans="1:19">
      <c r="A13" s="11" t="s">
        <v>31</v>
      </c>
      <c r="B13" s="11" t="s">
        <v>32</v>
      </c>
      <c r="D13" s="11" t="s">
        <v>12</v>
      </c>
      <c r="F13" s="11" t="s">
        <v>33</v>
      </c>
      <c r="G13" s="11">
        <f>BoardQty*1</f>
        <v>0</v>
      </c>
      <c r="H13" s="12">
        <f>MINA(INDIRECT(ADDRESS(ROW(),COLUMN(digikey_part_data)+2)),INDIRECT(ADDRESS(ROW(),COLUMN(mouser_part_data)+2)))</f>
        <v>0</v>
      </c>
      <c r="I13" s="12">
        <f>iferror(G13*H13,"")</f>
        <v>0</v>
      </c>
      <c r="J13" s="11">
        <v>270</v>
      </c>
      <c r="L13" s="12">
        <f>iferror(lookup(if(K13="",G13,K13),{0,1,10,100,500,10000},{0.0,0.1,0.022,0.0199,0.01764,0.01457}),"")</f>
        <v>0</v>
      </c>
      <c r="M13" s="12">
        <f>iferror(if(K13="",G13,K13)*L13,"")</f>
        <v>0</v>
      </c>
      <c r="N13" s="13" t="s">
        <v>131</v>
      </c>
      <c r="O13" s="14" t="s">
        <v>129</v>
      </c>
      <c r="Q13" s="12">
        <f>iferror(lookup(if(P13="",G13,P13),{0,1,10,50,100,1000,10000},{0.0,0.1,0.023,0.023,0.021,0.018,0.016}),"")</f>
        <v>0</v>
      </c>
      <c r="R13" s="12">
        <f>iferror(if(P13="",G13,P13)*Q13,"")</f>
        <v>0</v>
      </c>
      <c r="S13" s="13" t="s">
        <v>150</v>
      </c>
    </row>
    <row r="14" spans="1:19">
      <c r="A14" s="11" t="s">
        <v>34</v>
      </c>
      <c r="B14" s="11" t="s">
        <v>35</v>
      </c>
      <c r="D14" s="11" t="s">
        <v>36</v>
      </c>
      <c r="F14" s="11" t="s">
        <v>37</v>
      </c>
      <c r="G14" s="11">
        <f>BoardQty*1</f>
        <v>0</v>
      </c>
      <c r="H14" s="12">
        <f>MINA(INDIRECT(ADDRESS(ROW(),COLUMN(digikey_part_data)+2)),INDIRECT(ADDRESS(ROW(),COLUMN(mouser_part_data)+2)))</f>
        <v>0</v>
      </c>
      <c r="I14" s="12">
        <f>iferror(G14*H14,"")</f>
        <v>0</v>
      </c>
      <c r="J14" s="11">
        <v>1817</v>
      </c>
      <c r="L14" s="12">
        <f>iferror(lookup(if(K14="",G14,K14),{0,1,10,50,100,500,1000,2000},{0.0,0.49,0.346,0.2618,0.2279,0.16884,0.14352,0.13384}),"")</f>
        <v>0</v>
      </c>
      <c r="M14" s="12">
        <f>iferror(if(K14="",G14,K14)*L14,"")</f>
        <v>0</v>
      </c>
      <c r="N14" s="13" t="s">
        <v>132</v>
      </c>
      <c r="O14" s="11">
        <v>19881</v>
      </c>
      <c r="Q14" s="12">
        <f>iferror(lookup(if(P14="",G14,P14),{0,1,10,50,100,1000,10000},{0.0,0.5,0.289,0.289,0.231,0.162,0.157}),"")</f>
        <v>0</v>
      </c>
      <c r="R14" s="12">
        <f>iferror(if(P14="",G14,P14)*Q14,"")</f>
        <v>0</v>
      </c>
      <c r="S14" s="13" t="s">
        <v>151</v>
      </c>
    </row>
    <row r="15" spans="1:19">
      <c r="A15" s="11" t="s">
        <v>38</v>
      </c>
      <c r="B15" s="11" t="s">
        <v>39</v>
      </c>
      <c r="D15" s="11" t="s">
        <v>36</v>
      </c>
      <c r="F15" s="11" t="s">
        <v>40</v>
      </c>
      <c r="G15" s="11">
        <f>BoardQty*1</f>
        <v>0</v>
      </c>
      <c r="H15" s="12">
        <f>MINA(INDIRECT(ADDRESS(ROW(),COLUMN(digikey_part_data)+2)),INDIRECT(ADDRESS(ROW(),COLUMN(mouser_part_data)+2)))</f>
        <v>0</v>
      </c>
      <c r="I15" s="12">
        <f>iferror(G15*H15,"")</f>
        <v>0</v>
      </c>
      <c r="J15" s="11">
        <v>13346</v>
      </c>
      <c r="L15" s="12">
        <f>iferror(lookup(if(K15="",G15,K15),{0,1,10,50,100,500,1000,2500,5000,15000},{0.0,0.45,0.315,0.2206,0.1891,0.1418,0.11974,0.11344,0.10713,0.09768}),"")</f>
        <v>0</v>
      </c>
      <c r="M15" s="12">
        <f>iferror(if(K15="",G15,K15)*L15,"")</f>
        <v>0</v>
      </c>
      <c r="N15" s="13" t="s">
        <v>133</v>
      </c>
      <c r="O15" s="11">
        <v>21586</v>
      </c>
      <c r="Q15" s="12">
        <f>iferror(lookup(if(P15="",G15,P15),{0,1,10,50,100,1000,10000},{0.0,0.5,0.346,0.346,0.208,0.132,0.094}),"")</f>
        <v>0</v>
      </c>
      <c r="R15" s="12">
        <f>iferror(if(P15="",G15,P15)*Q15,"")</f>
        <v>0</v>
      </c>
      <c r="S15" s="13" t="s">
        <v>152</v>
      </c>
    </row>
    <row r="16" spans="1:19">
      <c r="A16" s="11" t="s">
        <v>41</v>
      </c>
      <c r="B16" s="11" t="s">
        <v>42</v>
      </c>
      <c r="D16" s="11" t="s">
        <v>43</v>
      </c>
      <c r="F16" s="11" t="s">
        <v>42</v>
      </c>
      <c r="G16" s="11">
        <f>BoardQty*3</f>
        <v>0</v>
      </c>
      <c r="H16" s="12">
        <f>MINA(INDIRECT(ADDRESS(ROW(),COLUMN(digikey_part_data)+2)),INDIRECT(ADDRESS(ROW(),COLUMN(mouser_part_data)+2)))</f>
        <v>0</v>
      </c>
      <c r="I16" s="12">
        <f>iferror(G16*H16,"")</f>
        <v>0</v>
      </c>
      <c r="J16" s="11">
        <v>51710</v>
      </c>
      <c r="L16" s="12">
        <f>iferror(lookup(if(K16="",G16,K16),{0,1,10,100,500,1000,2000,5000,10000,50000},{0.0,0.1,0.084,0.0455,0.02798,0.01908,0.01622,0.01463,0.01272,0.0105}),"")</f>
        <v>0</v>
      </c>
      <c r="M16" s="12">
        <f>iferror(if(K16="",G16,K16)*L16,"")</f>
        <v>0</v>
      </c>
      <c r="N16" s="13" t="s">
        <v>134</v>
      </c>
      <c r="O16" s="11">
        <v>113391</v>
      </c>
      <c r="Q16" s="12">
        <f>iferror(lookup(if(P16="",G16,P16),{0,1,10,50,100,1000,10000},{0.0,0.1,0.087,0.087,0.048,0.02,0.013}),"")</f>
        <v>0</v>
      </c>
      <c r="R16" s="12">
        <f>iferror(if(P16="",G16,P16)*Q16,"")</f>
        <v>0</v>
      </c>
      <c r="S16" s="13" t="s">
        <v>153</v>
      </c>
    </row>
    <row r="17" spans="1:19">
      <c r="A17" s="11" t="s">
        <v>44</v>
      </c>
      <c r="B17" s="11" t="s">
        <v>45</v>
      </c>
      <c r="D17" s="11" t="s">
        <v>46</v>
      </c>
      <c r="F17" s="11" t="s">
        <v>45</v>
      </c>
      <c r="G17" s="11">
        <f>BoardQty*1</f>
        <v>0</v>
      </c>
      <c r="H17" s="12">
        <f>MINA(INDIRECT(ADDRESS(ROW(),COLUMN(digikey_part_data)+2)),INDIRECT(ADDRESS(ROW(),COLUMN(mouser_part_data)+2)))</f>
        <v>0</v>
      </c>
      <c r="I17" s="12">
        <f>iferror(G17*H17,"")</f>
        <v>0</v>
      </c>
    </row>
    <row r="18" spans="1:19">
      <c r="A18" s="11" t="s">
        <v>47</v>
      </c>
      <c r="B18" s="11" t="s">
        <v>48</v>
      </c>
      <c r="D18" s="11" t="s">
        <v>49</v>
      </c>
      <c r="F18" s="11" t="s">
        <v>50</v>
      </c>
      <c r="G18" s="11">
        <f>BoardQty*1</f>
        <v>0</v>
      </c>
      <c r="H18" s="12">
        <f>MINA(INDIRECT(ADDRESS(ROW(),COLUMN(digikey_part_data)+2)),INDIRECT(ADDRESS(ROW(),COLUMN(mouser_part_data)+2)))</f>
        <v>0</v>
      </c>
      <c r="I18" s="12">
        <f>iferror(G18*H18,"")</f>
        <v>0</v>
      </c>
      <c r="J18" s="11">
        <v>3</v>
      </c>
      <c r="L18" s="12">
        <f>iferror(lookup(if(K18="",G18,K18),{0,1,10,25,100,250,500,1000,2500},{0.0,0.41,0.334,0.3052,0.2273,0.20596,0.17044,0.12784,0.11725}),"")</f>
        <v>0</v>
      </c>
      <c r="M18" s="12">
        <f>iferror(if(K18="",G18,K18)*L18,"")</f>
        <v>0</v>
      </c>
      <c r="N18" s="13" t="s">
        <v>135</v>
      </c>
      <c r="O18" s="11">
        <v>7050</v>
      </c>
      <c r="Q18" s="12">
        <f>iferror(lookup(if(P18="",G18,P18),{0,1,10,50,100,1000,10000},{0.0,0.41,0.334,0.334,0.334,0.334,0.334}),"")</f>
        <v>0</v>
      </c>
      <c r="R18" s="12">
        <f>iferror(if(P18="",G18,P18)*Q18,"")</f>
        <v>0</v>
      </c>
      <c r="S18" s="13" t="s">
        <v>154</v>
      </c>
    </row>
    <row r="19" spans="1:19">
      <c r="A19" s="11" t="s">
        <v>51</v>
      </c>
      <c r="B19" s="11" t="s">
        <v>52</v>
      </c>
      <c r="D19" s="11" t="s">
        <v>52</v>
      </c>
      <c r="F19" s="11" t="s">
        <v>52</v>
      </c>
      <c r="G19" s="11">
        <f>BoardQty*2</f>
        <v>0</v>
      </c>
      <c r="H19" s="12">
        <f>MINA(INDIRECT(ADDRESS(ROW(),COLUMN(digikey_part_data)+2)),INDIRECT(ADDRESS(ROW(),COLUMN(mouser_part_data)+2)))</f>
        <v>0</v>
      </c>
      <c r="I19" s="12">
        <f>iferror(G19*H19,"")</f>
        <v>0</v>
      </c>
      <c r="J19" s="14" t="s">
        <v>129</v>
      </c>
      <c r="L19" s="12">
        <f>iferror(lookup(if(K19="",G19,K19),{0,1,10,25,50,100,250,500,1000,2500},{0.0,1.39,1.176,1.128,1.104,1.056,0.96,0.864,0.768,0.696}),"")</f>
        <v>0</v>
      </c>
      <c r="M19" s="12">
        <f>iferror(if(K19="",G19,K19)*L19,"")</f>
        <v>0</v>
      </c>
      <c r="N19" s="13" t="s">
        <v>136</v>
      </c>
      <c r="O19" s="11">
        <v>1345</v>
      </c>
      <c r="Q19" s="12">
        <f>iferror(lookup(if(P19="",G19,P19),{0,1,10,50,100,1000,10000},{0.0,0.86,0.795,0.776,0.686,0.686,0.686}),"")</f>
        <v>0</v>
      </c>
      <c r="R19" s="12">
        <f>iferror(if(P19="",G19,P19)*Q19,"")</f>
        <v>0</v>
      </c>
      <c r="S19" s="13" t="s">
        <v>155</v>
      </c>
    </row>
    <row r="20" spans="1:19">
      <c r="A20" s="11" t="s">
        <v>53</v>
      </c>
      <c r="B20" s="11" t="s">
        <v>54</v>
      </c>
      <c r="C20" s="11" t="s">
        <v>55</v>
      </c>
      <c r="D20" s="11" t="s">
        <v>56</v>
      </c>
      <c r="E20" s="11" t="s">
        <v>57</v>
      </c>
      <c r="F20" s="11" t="s">
        <v>58</v>
      </c>
      <c r="G20" s="11">
        <f>BoardQty*1</f>
        <v>0</v>
      </c>
      <c r="H20" s="12">
        <f>MINA(INDIRECT(ADDRESS(ROW(),COLUMN(digikey_part_data)+2)),INDIRECT(ADDRESS(ROW(),COLUMN(mouser_part_data)+2)))</f>
        <v>0</v>
      </c>
      <c r="I20" s="12">
        <f>iferror(G20*H20,"")</f>
        <v>0</v>
      </c>
    </row>
    <row r="21" spans="1:19">
      <c r="A21" s="11" t="s">
        <v>59</v>
      </c>
      <c r="B21" s="11" t="s">
        <v>60</v>
      </c>
      <c r="C21" s="11" t="s">
        <v>61</v>
      </c>
      <c r="D21" s="11" t="s">
        <v>62</v>
      </c>
      <c r="E21" s="11" t="s">
        <v>63</v>
      </c>
      <c r="F21" s="11" t="s">
        <v>64</v>
      </c>
      <c r="G21" s="11">
        <f>BoardQty*2</f>
        <v>0</v>
      </c>
      <c r="H21" s="12">
        <f>MINA(INDIRECT(ADDRESS(ROW(),COLUMN(digikey_part_data)+2)),INDIRECT(ADDRESS(ROW(),COLUMN(mouser_part_data)+2)))</f>
        <v>0</v>
      </c>
      <c r="I21" s="12">
        <f>iferror(G21*H21,"")</f>
        <v>0</v>
      </c>
    </row>
    <row r="22" spans="1:19">
      <c r="A22" s="11" t="s">
        <v>65</v>
      </c>
      <c r="B22" s="11" t="s">
        <v>66</v>
      </c>
      <c r="D22" s="11" t="s">
        <v>67</v>
      </c>
      <c r="F22" s="11" t="s">
        <v>68</v>
      </c>
      <c r="G22" s="11">
        <f>BoardQty*5</f>
        <v>0</v>
      </c>
      <c r="H22" s="12">
        <f>MINA(INDIRECT(ADDRESS(ROW(),COLUMN(digikey_part_data)+2)),INDIRECT(ADDRESS(ROW(),COLUMN(mouser_part_data)+2)))</f>
        <v>0</v>
      </c>
      <c r="I22" s="12">
        <f>iferror(G22*H22,"")</f>
        <v>0</v>
      </c>
      <c r="J22" s="11">
        <v>67151</v>
      </c>
      <c r="L22" s="12">
        <f>iferror(lookup(if(K22="",G22,K22),{0,1,10,100,1000,2500,5000,10000},{0.0,0.1,0.019,0.0075,0.00338,0.00294,0.00243,0.00211}),"")</f>
        <v>0</v>
      </c>
      <c r="M22" s="12">
        <f>iferror(if(K22="",G22,K22)*L22,"")</f>
        <v>0</v>
      </c>
      <c r="N22" s="13" t="s">
        <v>137</v>
      </c>
      <c r="O22" s="11">
        <v>28670</v>
      </c>
      <c r="Q22" s="12">
        <f>iferror(lookup(if(P22="",G22,P22),{0,1,10,50,100,1000,10000},{0.0,0.1,0.018,0.018,0.008,0.004,0.002}),"")</f>
        <v>0</v>
      </c>
      <c r="R22" s="12">
        <f>iferror(if(P22="",G22,P22)*Q22,"")</f>
        <v>0</v>
      </c>
      <c r="S22" s="13" t="s">
        <v>156</v>
      </c>
    </row>
    <row r="23" spans="1:19">
      <c r="A23" s="11" t="s">
        <v>69</v>
      </c>
      <c r="B23" s="11" t="s">
        <v>70</v>
      </c>
      <c r="D23" s="11" t="s">
        <v>71</v>
      </c>
      <c r="F23" s="11" t="s">
        <v>72</v>
      </c>
      <c r="G23" s="11">
        <f>BoardQty*1</f>
        <v>0</v>
      </c>
      <c r="H23" s="12">
        <f>MINA(INDIRECT(ADDRESS(ROW(),COLUMN(digikey_part_data)+2)),INDIRECT(ADDRESS(ROW(),COLUMN(mouser_part_data)+2)))</f>
        <v>0</v>
      </c>
      <c r="I23" s="12">
        <f>iferror(G23*H23,"")</f>
        <v>0</v>
      </c>
      <c r="J23" s="11">
        <v>63876</v>
      </c>
      <c r="L23" s="12">
        <f>iferror(lookup(if(K23="",G23,K23),{0,1,10,100,1000,4000},{0.0,0.43,0.327,0.1374,0.07581,0.07107}),"")</f>
        <v>0</v>
      </c>
      <c r="M23" s="12">
        <f>iferror(if(K23="",G23,K23)*L23,"")</f>
        <v>0</v>
      </c>
      <c r="N23" s="13" t="s">
        <v>138</v>
      </c>
      <c r="O23" s="14" t="s">
        <v>129</v>
      </c>
      <c r="Q23" s="12">
        <f>iferror(lookup(if(P23="",G23,P23),{0,1,10,50,100,1000,10000},{0.0,0.43,0.327,0.327,0.142,0.076,0.07}),"")</f>
        <v>0</v>
      </c>
      <c r="R23" s="12">
        <f>iferror(if(P23="",G23,P23)*Q23,"")</f>
        <v>0</v>
      </c>
      <c r="S23" s="13" t="s">
        <v>157</v>
      </c>
    </row>
    <row r="24" spans="1:19">
      <c r="A24" s="11" t="s">
        <v>73</v>
      </c>
      <c r="B24" s="11" t="s">
        <v>74</v>
      </c>
      <c r="D24" s="11" t="s">
        <v>75</v>
      </c>
      <c r="F24" s="11" t="s">
        <v>76</v>
      </c>
      <c r="G24" s="11">
        <f>BoardQty*1</f>
        <v>0</v>
      </c>
      <c r="H24" s="12">
        <f>MINA(INDIRECT(ADDRESS(ROW(),COLUMN(digikey_part_data)+2)),INDIRECT(ADDRESS(ROW(),COLUMN(mouser_part_data)+2)))</f>
        <v>0</v>
      </c>
      <c r="I24" s="12">
        <f>iferror(G24*H24,"")</f>
        <v>0</v>
      </c>
      <c r="J24" s="14" t="s">
        <v>129</v>
      </c>
      <c r="L24" s="12">
        <f>iferror(lookup(if(K24="",G24,K24),{0,1,1000,5000,10000},{0.0,0.0663,0.0663,0.05558,0.05304}),"")</f>
        <v>0</v>
      </c>
      <c r="M24" s="12">
        <f>iferror(if(K24="",G24,K24)*L24,"")</f>
        <v>0</v>
      </c>
      <c r="N24" s="13" t="s">
        <v>139</v>
      </c>
    </row>
    <row r="25" spans="1:19">
      <c r="A25" s="11" t="s">
        <v>77</v>
      </c>
      <c r="B25" s="11" t="s">
        <v>78</v>
      </c>
      <c r="D25" s="11" t="s">
        <v>79</v>
      </c>
      <c r="F25" s="11" t="s">
        <v>80</v>
      </c>
      <c r="G25" s="11">
        <f>BoardQty*1</f>
        <v>0</v>
      </c>
      <c r="H25" s="12">
        <f>MINA(INDIRECT(ADDRESS(ROW(),COLUMN(digikey_part_data)+2)),INDIRECT(ADDRESS(ROW(),COLUMN(mouser_part_data)+2)))</f>
        <v>0</v>
      </c>
      <c r="I25" s="12">
        <f>iferror(G25*H25,"")</f>
        <v>0</v>
      </c>
      <c r="J25" s="11">
        <v>4364</v>
      </c>
      <c r="L25" s="12">
        <f>iferror(lookup(if(K25="",G25,K25),{0,1,10,100,1000,4000},{0.0,1.03,0.909,0.6598,0.39002,0.38123}),"")</f>
        <v>0</v>
      </c>
      <c r="M25" s="12">
        <f>iferror(if(K25="",G25,K25)*L25,"")</f>
        <v>0</v>
      </c>
      <c r="N25" s="13" t="s">
        <v>140</v>
      </c>
      <c r="O25" s="11">
        <v>1888</v>
      </c>
      <c r="Q25" s="12">
        <f>iferror(lookup(if(P25="",G25,P25),{0,1,10,50,100,1000,10000},{0.0,1.03,0.909,0.909,0.66,0.367,0.319}),"")</f>
        <v>0</v>
      </c>
      <c r="R25" s="12">
        <f>iferror(if(P25="",G25,P25)*Q25,"")</f>
        <v>0</v>
      </c>
      <c r="S25" s="13" t="s">
        <v>158</v>
      </c>
    </row>
    <row r="26" spans="1:19">
      <c r="A26" s="11" t="s">
        <v>81</v>
      </c>
      <c r="B26" s="11" t="s">
        <v>82</v>
      </c>
      <c r="D26" s="11" t="s">
        <v>83</v>
      </c>
      <c r="F26" s="11" t="s">
        <v>84</v>
      </c>
      <c r="G26" s="11">
        <f>BoardQty*1</f>
        <v>0</v>
      </c>
      <c r="H26" s="12">
        <f>MINA(INDIRECT(ADDRESS(ROW(),COLUMN(digikey_part_data)+2)),INDIRECT(ADDRESS(ROW(),COLUMN(mouser_part_data)+2)))</f>
        <v>0</v>
      </c>
      <c r="I26" s="12">
        <f>iferror(G26*H26,"")</f>
        <v>0</v>
      </c>
    </row>
    <row r="27" spans="1:19">
      <c r="A27" s="11" t="s">
        <v>85</v>
      </c>
      <c r="B27" s="11" t="s">
        <v>86</v>
      </c>
      <c r="D27" s="11" t="s">
        <v>75</v>
      </c>
      <c r="F27" s="11" t="s">
        <v>76</v>
      </c>
      <c r="G27" s="11">
        <f>BoardQty*1</f>
        <v>0</v>
      </c>
      <c r="H27" s="12">
        <f>MINA(INDIRECT(ADDRESS(ROW(),COLUMN(digikey_part_data)+2)),INDIRECT(ADDRESS(ROW(),COLUMN(mouser_part_data)+2)))</f>
        <v>0</v>
      </c>
      <c r="I27" s="12">
        <f>iferror(G27*H27,"")</f>
        <v>0</v>
      </c>
      <c r="J27" s="14" t="s">
        <v>129</v>
      </c>
      <c r="L27" s="12">
        <f>iferror(lookup(if(K27="",G27,K27),{0,1,1000,5000,10000},{0.0,0.0663,0.0663,0.05558,0.05304}),"")</f>
        <v>0</v>
      </c>
      <c r="M27" s="12">
        <f>iferror(if(K27="",G27,K27)*L27,"")</f>
        <v>0</v>
      </c>
      <c r="N27" s="13" t="s">
        <v>139</v>
      </c>
    </row>
    <row r="28" spans="1:19">
      <c r="A28" s="11" t="s">
        <v>87</v>
      </c>
      <c r="B28" s="11" t="s">
        <v>88</v>
      </c>
      <c r="D28" s="11" t="s">
        <v>83</v>
      </c>
      <c r="F28" s="11" t="s">
        <v>84</v>
      </c>
      <c r="G28" s="11">
        <f>BoardQty*1</f>
        <v>0</v>
      </c>
      <c r="H28" s="12">
        <f>MINA(INDIRECT(ADDRESS(ROW(),COLUMN(digikey_part_data)+2)),INDIRECT(ADDRESS(ROW(),COLUMN(mouser_part_data)+2)))</f>
        <v>0</v>
      </c>
      <c r="I28" s="12">
        <f>iferror(G28*H28,"")</f>
        <v>0</v>
      </c>
    </row>
    <row r="29" spans="1:19">
      <c r="A29" s="11" t="s">
        <v>89</v>
      </c>
      <c r="B29" s="11" t="s">
        <v>90</v>
      </c>
      <c r="D29" s="11" t="s">
        <v>83</v>
      </c>
      <c r="F29" s="11" t="s">
        <v>84</v>
      </c>
      <c r="G29" s="11">
        <f>BoardQty*1</f>
        <v>0</v>
      </c>
      <c r="H29" s="12">
        <f>MINA(INDIRECT(ADDRESS(ROW(),COLUMN(digikey_part_data)+2)),INDIRECT(ADDRESS(ROW(),COLUMN(mouser_part_data)+2)))</f>
        <v>0</v>
      </c>
      <c r="I29" s="12">
        <f>iferror(G29*H29,"")</f>
        <v>0</v>
      </c>
    </row>
    <row r="30" spans="1:19">
      <c r="A30" s="11" t="s">
        <v>91</v>
      </c>
      <c r="B30" s="11" t="s">
        <v>92</v>
      </c>
      <c r="D30" s="11" t="s">
        <v>67</v>
      </c>
      <c r="F30" s="11" t="s">
        <v>93</v>
      </c>
      <c r="G30" s="11">
        <f>BoardQty*1</f>
        <v>0</v>
      </c>
      <c r="H30" s="12">
        <f>MINA(INDIRECT(ADDRESS(ROW(),COLUMN(digikey_part_data)+2)),INDIRECT(ADDRESS(ROW(),COLUMN(mouser_part_data)+2)))</f>
        <v>0</v>
      </c>
      <c r="I30" s="12">
        <f>iferror(G30*H30,"")</f>
        <v>0</v>
      </c>
      <c r="J30" s="11">
        <v>9800</v>
      </c>
      <c r="L30" s="12">
        <f>iferror(lookup(if(K30="",G30,K30),{0,1,10,100,1000,2500,5000,10000},{0.0,0.1,0.075,0.0288,0.01265,0.01092,0.00978,0.00877}),"")</f>
        <v>0</v>
      </c>
      <c r="M30" s="12">
        <f>iferror(if(K30="",G30,K30)*L30,"")</f>
        <v>0</v>
      </c>
      <c r="N30" s="13" t="s">
        <v>141</v>
      </c>
    </row>
    <row r="31" spans="1:19">
      <c r="A31" s="11" t="s">
        <v>94</v>
      </c>
      <c r="B31" s="11" t="s">
        <v>95</v>
      </c>
      <c r="D31" s="11" t="s">
        <v>75</v>
      </c>
      <c r="F31" s="11" t="s">
        <v>96</v>
      </c>
      <c r="G31" s="11">
        <f>BoardQty*7</f>
        <v>0</v>
      </c>
      <c r="H31" s="12">
        <f>MINA(INDIRECT(ADDRESS(ROW(),COLUMN(digikey_part_data)+2)),INDIRECT(ADDRESS(ROW(),COLUMN(mouser_part_data)+2)))</f>
        <v>0</v>
      </c>
      <c r="I31" s="12">
        <f>iferror(G31*H31,"")</f>
        <v>0</v>
      </c>
    </row>
    <row r="32" spans="1:19">
      <c r="A32" s="11" t="s">
        <v>97</v>
      </c>
      <c r="B32" s="11" t="s">
        <v>98</v>
      </c>
      <c r="D32" s="11" t="s">
        <v>75</v>
      </c>
      <c r="F32" s="11" t="s">
        <v>99</v>
      </c>
      <c r="G32" s="11">
        <f>BoardQty*1</f>
        <v>0</v>
      </c>
      <c r="H32" s="12">
        <f>MINA(INDIRECT(ADDRESS(ROW(),COLUMN(digikey_part_data)+2)),INDIRECT(ADDRESS(ROW(),COLUMN(mouser_part_data)+2)))</f>
        <v>0</v>
      </c>
      <c r="I32" s="12">
        <f>iferror(G32*H32,"")</f>
        <v>0</v>
      </c>
      <c r="J32" s="11">
        <v>6097</v>
      </c>
      <c r="L32" s="12">
        <f>iferror(lookup(if(K32="",G32,K32),{0,1,10,25,50,100,250,500,1000,2500,5000,10000,15000,25000,50000},{0.0,0.1,0.041,0.0384,0.0284,0.0244,0.02356,0.02032,0.01829,0.01626,0.01545,0.01464,0.01423,0.01301,0.01179}),"")</f>
        <v>0</v>
      </c>
      <c r="M32" s="12">
        <f>iferror(if(K32="",G32,K32)*L32,"")</f>
        <v>0</v>
      </c>
      <c r="N32" s="13" t="s">
        <v>142</v>
      </c>
      <c r="O32" s="11">
        <v>109</v>
      </c>
      <c r="Q32" s="12">
        <f>iferror(lookup(if(P32="",G32,P32),{0,1,10,50,100,1000,10000},{0.0,0.17,0.115,0.115,0.045,0.02,0.012}),"")</f>
        <v>0</v>
      </c>
      <c r="R32" s="12">
        <f>iferror(if(P32="",G32,P32)*Q32,"")</f>
        <v>0</v>
      </c>
      <c r="S32" s="13" t="s">
        <v>159</v>
      </c>
    </row>
    <row r="33" spans="1:19">
      <c r="A33" s="11" t="s">
        <v>100</v>
      </c>
      <c r="B33" s="11" t="s">
        <v>101</v>
      </c>
      <c r="D33" s="11" t="s">
        <v>102</v>
      </c>
      <c r="F33" s="11" t="s">
        <v>103</v>
      </c>
      <c r="G33" s="11">
        <f>BoardQty*1</f>
        <v>0</v>
      </c>
      <c r="H33" s="12">
        <f>MINA(INDIRECT(ADDRESS(ROW(),COLUMN(digikey_part_data)+2)),INDIRECT(ADDRESS(ROW(),COLUMN(mouser_part_data)+2)))</f>
        <v>0</v>
      </c>
      <c r="I33" s="12">
        <f>iferror(G33*H33,"")</f>
        <v>0</v>
      </c>
      <c r="J33" s="11">
        <v>236</v>
      </c>
      <c r="L33" s="12">
        <f>iferror(lookup(if(K33="",G33,K33),{0,1,10,100,1000,2500,5000},{0.0,0.1,0.036,0.0146,0.00655,0.00569,0.0047}),"")</f>
        <v>0</v>
      </c>
      <c r="M33" s="12">
        <f>iferror(if(K33="",G33,K33)*L33,"")</f>
        <v>0</v>
      </c>
      <c r="N33" s="13" t="s">
        <v>143</v>
      </c>
    </row>
    <row r="34" spans="1:19">
      <c r="A34" s="11" t="s">
        <v>104</v>
      </c>
      <c r="B34" s="11" t="s">
        <v>105</v>
      </c>
      <c r="D34" s="11" t="s">
        <v>106</v>
      </c>
      <c r="F34" s="11" t="s">
        <v>105</v>
      </c>
      <c r="G34" s="11">
        <f>BoardQty*1</f>
        <v>0</v>
      </c>
      <c r="H34" s="12">
        <f>MINA(INDIRECT(ADDRESS(ROW(),COLUMN(digikey_part_data)+2)),INDIRECT(ADDRESS(ROW(),COLUMN(mouser_part_data)+2)))</f>
        <v>0</v>
      </c>
      <c r="I34" s="12">
        <f>iferror(G34*H34,"")</f>
        <v>0</v>
      </c>
      <c r="J34" s="11">
        <v>48</v>
      </c>
      <c r="L34" s="12">
        <f>iferror(lookup(if(K34="",G34,K34),{0,1,10,25,50,100,250,500,1000},{0.0,7.41,6.671,6.3356,6.0674,5.8663,5.56464,5.09532,4.86068}),"")</f>
        <v>0</v>
      </c>
      <c r="M34" s="12">
        <f>iferror(if(K34="",G34,K34)*L34,"")</f>
        <v>0</v>
      </c>
      <c r="N34" s="13" t="s">
        <v>144</v>
      </c>
      <c r="O34" s="14" t="s">
        <v>129</v>
      </c>
      <c r="Q34" s="12">
        <f>iferror(lookup(if(P34="",G34,P34),{0,1,10,50,100,1000,10000},{0.0,7.28,6.63,6.13,5.97,4.81,4.81}),"")</f>
        <v>0</v>
      </c>
      <c r="R34" s="12">
        <f>iferror(if(P34="",G34,P34)*Q34,"")</f>
        <v>0</v>
      </c>
      <c r="S34" s="13" t="s">
        <v>160</v>
      </c>
    </row>
    <row r="35" spans="1:19">
      <c r="A35" s="11" t="s">
        <v>107</v>
      </c>
      <c r="B35" s="11" t="s">
        <v>108</v>
      </c>
      <c r="G35" s="11">
        <f>BoardQty*2</f>
        <v>0</v>
      </c>
      <c r="H35" s="12">
        <f>MINA(INDIRECT(ADDRESS(ROW(),COLUMN(digikey_part_data)+2)),INDIRECT(ADDRESS(ROW(),COLUMN(mouser_part_data)+2)))</f>
        <v>0</v>
      </c>
      <c r="I35" s="12">
        <f>iferror(G35*H35,"")</f>
        <v>0</v>
      </c>
    </row>
    <row r="37" spans="1:19">
      <c r="H37" s="1" t="s">
        <v>109</v>
      </c>
      <c r="I37" s="5">
        <f>SUM(INDIRECT(ADDRESS(ROW(),COLUMN(digikey_part_data)+3)),INDIRECT(ADDRESS(ROW(),COLUMN(mouser_part_data)+3)))</f>
        <v>0</v>
      </c>
      <c r="K37" s="6">
        <f>IFERROR(IF(OR(K7:K35),COUNTIFS(K7:K35,"&gt;0",M7:M35,"&lt;&gt;")&amp;" of "&amp;(ROWS(M7:M35)-COUNTBLANK(M7:M35))&amp;" parts purchased",""),"")</f>
        <v>0</v>
      </c>
      <c r="M37" s="5">
        <f>SUMIF(K7:K35,"&gt;0",M7:M35)</f>
        <v>0</v>
      </c>
      <c r="P37" s="6">
        <f>IFERROR(IF(OR(P7:P35),COUNTIFS(P7:P35,"&gt;0",R7:R35,"&lt;&gt;")&amp;" of "&amp;(ROWS(R7:R35)-COUNTBLANK(R7:R35))&amp;" parts purchased",""),"")</f>
        <v>0</v>
      </c>
      <c r="R37" s="5">
        <f>SUMIF(P7:P35,"&gt;0",R7:R35)</f>
        <v>0</v>
      </c>
    </row>
    <row r="38" spans="1:19">
      <c r="A38" s="2" t="s">
        <v>161</v>
      </c>
      <c r="H38" s="15" t="s">
        <v>110</v>
      </c>
      <c r="K38">
        <f t="array" ref="K38">IFERROR(CONCATENATE(TEXT(INDEX(K7:K35,SMALL(IF(ISNUMBER(K7:K35),IF(K7:K35&gt;0,IF(N7:N35&lt;&gt;"",ROW(K7:K35)-MIN(ROW(K7:K35))+1))),ROW()-ROW(A$38)+1)),"##0"),",",INDEX(N7:N35,SMALL(IF(ISNUMBER(K7:K35),IF(K7:K35&gt;0,IF(N7:N35&lt;&gt;"",ROW(K7:K35)-MIN(ROW(K7:K35))+1))),ROW()-ROW(A$38)+1)),",",SUBSTITUTE(INDEX(IF(PURCHASE_DESCRIPTION&lt;&gt;"",PURCHASE_DESCRIPTION&amp;":","")&amp;A7:A35,SMALL(IF(ISNUMBER(K7:K35),IF(K7:K35&gt;0,IF(N7:N35&lt;&gt;"",ROW(K7:K35)-MIN(ROW(K7:K35))+1))),ROW()-ROW(A$38)+1)),",",";")),"")</f>
        <v>0</v>
      </c>
      <c r="P38">
        <f t="array" ref="P38">IFERROR(CONCATENATE(INDEX(S7:S35,SMALL(IF(ISNUMBER(P7:P35),IF(P7:P35&gt;0,IF(S7:S35&lt;&gt;"",ROW(P7:P35)-MIN(ROW(P7:P35))+1))),ROW()-ROW(A$38)+1)),"|",TEXT(INDEX(P7:P35,SMALL(IF(ISNUMBER(P7:P35),IF(P7:P35&gt;0,IF(S7:S35&lt;&gt;"",ROW(P7:P35)-MIN(ROW(P7:P35))+1))),ROW()-ROW(A$38)+1)),"##0"),"|",SUBSTITUTE(SUBSTITUTE(INDEX(IF(PURCHASE_DESCRIPTION&lt;&gt;"",PURCHASE_DESCRIPTION&amp;":","")&amp;A7:A35,SMALL(IF(ISNUMBER(P7:P35),IF(P7:P35&gt;0,IF(S7:S35&lt;&gt;"",ROW(P7:P35)-MIN(ROW(P7:P35))+1))),ROW()-ROW(A$38)+1)),"|",";")," ","_")),"")</f>
        <v>0</v>
      </c>
    </row>
    <row r="39" spans="1:19">
      <c r="K39">
        <f t="array" ref="K39">IFERROR(CONCATENATE(TEXT(INDEX(K7:K35,SMALL(IF(ISNUMBER(K7:K35),IF(K7:K35&gt;0,IF(N7:N35&lt;&gt;"",ROW(K7:K35)-MIN(ROW(K7:K35))+1))),ROW()-ROW(A$38)+1)),"##0"),",",INDEX(N7:N35,SMALL(IF(ISNUMBER(K7:K35),IF(K7:K35&gt;0,IF(N7:N35&lt;&gt;"",ROW(K7:K35)-MIN(ROW(K7:K35))+1))),ROW()-ROW(A$38)+1)),",",SUBSTITUTE(INDEX(IF(PURCHASE_DESCRIPTION&lt;&gt;"",PURCHASE_DESCRIPTION&amp;":","")&amp;A7:A35,SMALL(IF(ISNUMBER(K7:K35),IF(K7:K35&gt;0,IF(N7:N35&lt;&gt;"",ROW(K7:K35)-MIN(ROW(K7:K35))+1))),ROW()-ROW(A$38)+1)),",",";")),"")</f>
        <v>0</v>
      </c>
      <c r="P39">
        <f t="array" ref="P39">IFERROR(CONCATENATE(INDEX(S7:S35,SMALL(IF(ISNUMBER(P7:P35),IF(P7:P35&gt;0,IF(S7:S35&lt;&gt;"",ROW(P7:P35)-MIN(ROW(P7:P35))+1))),ROW()-ROW(A$38)+1)),"|",TEXT(INDEX(P7:P35,SMALL(IF(ISNUMBER(P7:P35),IF(P7:P35&gt;0,IF(S7:S35&lt;&gt;"",ROW(P7:P35)-MIN(ROW(P7:P35))+1))),ROW()-ROW(A$38)+1)),"##0"),"|",SUBSTITUTE(SUBSTITUTE(INDEX(IF(PURCHASE_DESCRIPTION&lt;&gt;"",PURCHASE_DESCRIPTION&amp;":","")&amp;A7:A35,SMALL(IF(ISNUMBER(P7:P35),IF(P7:P35&gt;0,IF(S7:S35&lt;&gt;"",ROW(P7:P35)-MIN(ROW(P7:P35))+1))),ROW()-ROW(A$38)+1)),"|",";")," ","_")),"")</f>
        <v>0</v>
      </c>
    </row>
    <row r="40" spans="1:19">
      <c r="K40">
        <f t="array" ref="K40">IFERROR(CONCATENATE(TEXT(INDEX(K7:K35,SMALL(IF(ISNUMBER(K7:K35),IF(K7:K35&gt;0,IF(N7:N35&lt;&gt;"",ROW(K7:K35)-MIN(ROW(K7:K35))+1))),ROW()-ROW(A$38)+1)),"##0"),",",INDEX(N7:N35,SMALL(IF(ISNUMBER(K7:K35),IF(K7:K35&gt;0,IF(N7:N35&lt;&gt;"",ROW(K7:K35)-MIN(ROW(K7:K35))+1))),ROW()-ROW(A$38)+1)),",",SUBSTITUTE(INDEX(IF(PURCHASE_DESCRIPTION&lt;&gt;"",PURCHASE_DESCRIPTION&amp;":","")&amp;A7:A35,SMALL(IF(ISNUMBER(K7:K35),IF(K7:K35&gt;0,IF(N7:N35&lt;&gt;"",ROW(K7:K35)-MIN(ROW(K7:K35))+1))),ROW()-ROW(A$38)+1)),",",";")),"")</f>
        <v>0</v>
      </c>
      <c r="P40">
        <f t="array" ref="P40">IFERROR(CONCATENATE(INDEX(S7:S35,SMALL(IF(ISNUMBER(P7:P35),IF(P7:P35&gt;0,IF(S7:S35&lt;&gt;"",ROW(P7:P35)-MIN(ROW(P7:P35))+1))),ROW()-ROW(A$38)+1)),"|",TEXT(INDEX(P7:P35,SMALL(IF(ISNUMBER(P7:P35),IF(P7:P35&gt;0,IF(S7:S35&lt;&gt;"",ROW(P7:P35)-MIN(ROW(P7:P35))+1))),ROW()-ROW(A$38)+1)),"##0"),"|",SUBSTITUTE(SUBSTITUTE(INDEX(IF(PURCHASE_DESCRIPTION&lt;&gt;"",PURCHASE_DESCRIPTION&amp;":","")&amp;A7:A35,SMALL(IF(ISNUMBER(P7:P35),IF(P7:P35&gt;0,IF(S7:S35&lt;&gt;"",ROW(P7:P35)-MIN(ROW(P7:P35))+1))),ROW()-ROW(A$38)+1)),"|",";")," ","_")),"")</f>
        <v>0</v>
      </c>
    </row>
    <row r="41" spans="1:19">
      <c r="K41">
        <f t="array" ref="K41">IFERROR(CONCATENATE(TEXT(INDEX(K7:K35,SMALL(IF(ISNUMBER(K7:K35),IF(K7:K35&gt;0,IF(N7:N35&lt;&gt;"",ROW(K7:K35)-MIN(ROW(K7:K35))+1))),ROW()-ROW(A$38)+1)),"##0"),",",INDEX(N7:N35,SMALL(IF(ISNUMBER(K7:K35),IF(K7:K35&gt;0,IF(N7:N35&lt;&gt;"",ROW(K7:K35)-MIN(ROW(K7:K35))+1))),ROW()-ROW(A$38)+1)),",",SUBSTITUTE(INDEX(IF(PURCHASE_DESCRIPTION&lt;&gt;"",PURCHASE_DESCRIPTION&amp;":","")&amp;A7:A35,SMALL(IF(ISNUMBER(K7:K35),IF(K7:K35&gt;0,IF(N7:N35&lt;&gt;"",ROW(K7:K35)-MIN(ROW(K7:K35))+1))),ROW()-ROW(A$38)+1)),",",";")),"")</f>
        <v>0</v>
      </c>
      <c r="P41">
        <f t="array" ref="P41">IFERROR(CONCATENATE(INDEX(S7:S35,SMALL(IF(ISNUMBER(P7:P35),IF(P7:P35&gt;0,IF(S7:S35&lt;&gt;"",ROW(P7:P35)-MIN(ROW(P7:P35))+1))),ROW()-ROW(A$38)+1)),"|",TEXT(INDEX(P7:P35,SMALL(IF(ISNUMBER(P7:P35),IF(P7:P35&gt;0,IF(S7:S35&lt;&gt;"",ROW(P7:P35)-MIN(ROW(P7:P35))+1))),ROW()-ROW(A$38)+1)),"##0"),"|",SUBSTITUTE(SUBSTITUTE(INDEX(IF(PURCHASE_DESCRIPTION&lt;&gt;"",PURCHASE_DESCRIPTION&amp;":","")&amp;A7:A35,SMALL(IF(ISNUMBER(P7:P35),IF(P7:P35&gt;0,IF(S7:S35&lt;&gt;"",ROW(P7:P35)-MIN(ROW(P7:P35))+1))),ROW()-ROW(A$38)+1)),"|",";")," ","_")),"")</f>
        <v>0</v>
      </c>
    </row>
    <row r="42" spans="1:19">
      <c r="K42">
        <f t="array" ref="K42">IFERROR(CONCATENATE(TEXT(INDEX(K7:K35,SMALL(IF(ISNUMBER(K7:K35),IF(K7:K35&gt;0,IF(N7:N35&lt;&gt;"",ROW(K7:K35)-MIN(ROW(K7:K35))+1))),ROW()-ROW(A$38)+1)),"##0"),",",INDEX(N7:N35,SMALL(IF(ISNUMBER(K7:K35),IF(K7:K35&gt;0,IF(N7:N35&lt;&gt;"",ROW(K7:K35)-MIN(ROW(K7:K35))+1))),ROW()-ROW(A$38)+1)),",",SUBSTITUTE(INDEX(IF(PURCHASE_DESCRIPTION&lt;&gt;"",PURCHASE_DESCRIPTION&amp;":","")&amp;A7:A35,SMALL(IF(ISNUMBER(K7:K35),IF(K7:K35&gt;0,IF(N7:N35&lt;&gt;"",ROW(K7:K35)-MIN(ROW(K7:K35))+1))),ROW()-ROW(A$38)+1)),",",";")),"")</f>
        <v>0</v>
      </c>
      <c r="P42">
        <f t="array" ref="P42">IFERROR(CONCATENATE(INDEX(S7:S35,SMALL(IF(ISNUMBER(P7:P35),IF(P7:P35&gt;0,IF(S7:S35&lt;&gt;"",ROW(P7:P35)-MIN(ROW(P7:P35))+1))),ROW()-ROW(A$38)+1)),"|",TEXT(INDEX(P7:P35,SMALL(IF(ISNUMBER(P7:P35),IF(P7:P35&gt;0,IF(S7:S35&lt;&gt;"",ROW(P7:P35)-MIN(ROW(P7:P35))+1))),ROW()-ROW(A$38)+1)),"##0"),"|",SUBSTITUTE(SUBSTITUTE(INDEX(IF(PURCHASE_DESCRIPTION&lt;&gt;"",PURCHASE_DESCRIPTION&amp;":","")&amp;A7:A35,SMALL(IF(ISNUMBER(P7:P35),IF(P7:P35&gt;0,IF(S7:S35&lt;&gt;"",ROW(P7:P35)-MIN(ROW(P7:P35))+1))),ROW()-ROW(A$38)+1)),"|",";")," ","_")),"")</f>
        <v>0</v>
      </c>
    </row>
    <row r="43" spans="1:19">
      <c r="K43">
        <f t="array" ref="K43">IFERROR(CONCATENATE(TEXT(INDEX(K7:K35,SMALL(IF(ISNUMBER(K7:K35),IF(K7:K35&gt;0,IF(N7:N35&lt;&gt;"",ROW(K7:K35)-MIN(ROW(K7:K35))+1))),ROW()-ROW(A$38)+1)),"##0"),",",INDEX(N7:N35,SMALL(IF(ISNUMBER(K7:K35),IF(K7:K35&gt;0,IF(N7:N35&lt;&gt;"",ROW(K7:K35)-MIN(ROW(K7:K35))+1))),ROW()-ROW(A$38)+1)),",",SUBSTITUTE(INDEX(IF(PURCHASE_DESCRIPTION&lt;&gt;"",PURCHASE_DESCRIPTION&amp;":","")&amp;A7:A35,SMALL(IF(ISNUMBER(K7:K35),IF(K7:K35&gt;0,IF(N7:N35&lt;&gt;"",ROW(K7:K35)-MIN(ROW(K7:K35))+1))),ROW()-ROW(A$38)+1)),",",";")),"")</f>
        <v>0</v>
      </c>
      <c r="P43">
        <f t="array" ref="P43">IFERROR(CONCATENATE(INDEX(S7:S35,SMALL(IF(ISNUMBER(P7:P35),IF(P7:P35&gt;0,IF(S7:S35&lt;&gt;"",ROW(P7:P35)-MIN(ROW(P7:P35))+1))),ROW()-ROW(A$38)+1)),"|",TEXT(INDEX(P7:P35,SMALL(IF(ISNUMBER(P7:P35),IF(P7:P35&gt;0,IF(S7:S35&lt;&gt;"",ROW(P7:P35)-MIN(ROW(P7:P35))+1))),ROW()-ROW(A$38)+1)),"##0"),"|",SUBSTITUTE(SUBSTITUTE(INDEX(IF(PURCHASE_DESCRIPTION&lt;&gt;"",PURCHASE_DESCRIPTION&amp;":","")&amp;A7:A35,SMALL(IF(ISNUMBER(P7:P35),IF(P7:P35&gt;0,IF(S7:S35&lt;&gt;"",ROW(P7:P35)-MIN(ROW(P7:P35))+1))),ROW()-ROW(A$38)+1)),"|",";")," ","_")),"")</f>
        <v>0</v>
      </c>
    </row>
    <row r="44" spans="1:19">
      <c r="K44">
        <f t="array" ref="K44">IFERROR(CONCATENATE(TEXT(INDEX(K7:K35,SMALL(IF(ISNUMBER(K7:K35),IF(K7:K35&gt;0,IF(N7:N35&lt;&gt;"",ROW(K7:K35)-MIN(ROW(K7:K35))+1))),ROW()-ROW(A$38)+1)),"##0"),",",INDEX(N7:N35,SMALL(IF(ISNUMBER(K7:K35),IF(K7:K35&gt;0,IF(N7:N35&lt;&gt;"",ROW(K7:K35)-MIN(ROW(K7:K35))+1))),ROW()-ROW(A$38)+1)),",",SUBSTITUTE(INDEX(IF(PURCHASE_DESCRIPTION&lt;&gt;"",PURCHASE_DESCRIPTION&amp;":","")&amp;A7:A35,SMALL(IF(ISNUMBER(K7:K35),IF(K7:K35&gt;0,IF(N7:N35&lt;&gt;"",ROW(K7:K35)-MIN(ROW(K7:K35))+1))),ROW()-ROW(A$38)+1)),",",";")),"")</f>
        <v>0</v>
      </c>
      <c r="P44">
        <f t="array" ref="P44">IFERROR(CONCATENATE(INDEX(S7:S35,SMALL(IF(ISNUMBER(P7:P35),IF(P7:P35&gt;0,IF(S7:S35&lt;&gt;"",ROW(P7:P35)-MIN(ROW(P7:P35))+1))),ROW()-ROW(A$38)+1)),"|",TEXT(INDEX(P7:P35,SMALL(IF(ISNUMBER(P7:P35),IF(P7:P35&gt;0,IF(S7:S35&lt;&gt;"",ROW(P7:P35)-MIN(ROW(P7:P35))+1))),ROW()-ROW(A$38)+1)),"##0"),"|",SUBSTITUTE(SUBSTITUTE(INDEX(IF(PURCHASE_DESCRIPTION&lt;&gt;"",PURCHASE_DESCRIPTION&amp;":","")&amp;A7:A35,SMALL(IF(ISNUMBER(P7:P35),IF(P7:P35&gt;0,IF(S7:S35&lt;&gt;"",ROW(P7:P35)-MIN(ROW(P7:P35))+1))),ROW()-ROW(A$38)+1)),"|",";")," ","_")),"")</f>
        <v>0</v>
      </c>
    </row>
    <row r="45" spans="1:19">
      <c r="K45">
        <f t="array" ref="K45">IFERROR(CONCATENATE(TEXT(INDEX(K7:K35,SMALL(IF(ISNUMBER(K7:K35),IF(K7:K35&gt;0,IF(N7:N35&lt;&gt;"",ROW(K7:K35)-MIN(ROW(K7:K35))+1))),ROW()-ROW(A$38)+1)),"##0"),",",INDEX(N7:N35,SMALL(IF(ISNUMBER(K7:K35),IF(K7:K35&gt;0,IF(N7:N35&lt;&gt;"",ROW(K7:K35)-MIN(ROW(K7:K35))+1))),ROW()-ROW(A$38)+1)),",",SUBSTITUTE(INDEX(IF(PURCHASE_DESCRIPTION&lt;&gt;"",PURCHASE_DESCRIPTION&amp;":","")&amp;A7:A35,SMALL(IF(ISNUMBER(K7:K35),IF(K7:K35&gt;0,IF(N7:N35&lt;&gt;"",ROW(K7:K35)-MIN(ROW(K7:K35))+1))),ROW()-ROW(A$38)+1)),",",";")),"")</f>
        <v>0</v>
      </c>
      <c r="P45">
        <f t="array" ref="P45">IFERROR(CONCATENATE(INDEX(S7:S35,SMALL(IF(ISNUMBER(P7:P35),IF(P7:P35&gt;0,IF(S7:S35&lt;&gt;"",ROW(P7:P35)-MIN(ROW(P7:P35))+1))),ROW()-ROW(A$38)+1)),"|",TEXT(INDEX(P7:P35,SMALL(IF(ISNUMBER(P7:P35),IF(P7:P35&gt;0,IF(S7:S35&lt;&gt;"",ROW(P7:P35)-MIN(ROW(P7:P35))+1))),ROW()-ROW(A$38)+1)),"##0"),"|",SUBSTITUTE(SUBSTITUTE(INDEX(IF(PURCHASE_DESCRIPTION&lt;&gt;"",PURCHASE_DESCRIPTION&amp;":","")&amp;A7:A35,SMALL(IF(ISNUMBER(P7:P35),IF(P7:P35&gt;0,IF(S7:S35&lt;&gt;"",ROW(P7:P35)-MIN(ROW(P7:P35))+1))),ROW()-ROW(A$38)+1)),"|",";")," ","_")),"")</f>
        <v>0</v>
      </c>
    </row>
    <row r="46" spans="1:19">
      <c r="K46">
        <f t="array" ref="K46">IFERROR(CONCATENATE(TEXT(INDEX(K7:K35,SMALL(IF(ISNUMBER(K7:K35),IF(K7:K35&gt;0,IF(N7:N35&lt;&gt;"",ROW(K7:K35)-MIN(ROW(K7:K35))+1))),ROW()-ROW(A$38)+1)),"##0"),",",INDEX(N7:N35,SMALL(IF(ISNUMBER(K7:K35),IF(K7:K35&gt;0,IF(N7:N35&lt;&gt;"",ROW(K7:K35)-MIN(ROW(K7:K35))+1))),ROW()-ROW(A$38)+1)),",",SUBSTITUTE(INDEX(IF(PURCHASE_DESCRIPTION&lt;&gt;"",PURCHASE_DESCRIPTION&amp;":","")&amp;A7:A35,SMALL(IF(ISNUMBER(K7:K35),IF(K7:K35&gt;0,IF(N7:N35&lt;&gt;"",ROW(K7:K35)-MIN(ROW(K7:K35))+1))),ROW()-ROW(A$38)+1)),",",";")),"")</f>
        <v>0</v>
      </c>
      <c r="P46">
        <f t="array" ref="P46">IFERROR(CONCATENATE(INDEX(S7:S35,SMALL(IF(ISNUMBER(P7:P35),IF(P7:P35&gt;0,IF(S7:S35&lt;&gt;"",ROW(P7:P35)-MIN(ROW(P7:P35))+1))),ROW()-ROW(A$38)+1)),"|",TEXT(INDEX(P7:P35,SMALL(IF(ISNUMBER(P7:P35),IF(P7:P35&gt;0,IF(S7:S35&lt;&gt;"",ROW(P7:P35)-MIN(ROW(P7:P35))+1))),ROW()-ROW(A$38)+1)),"##0"),"|",SUBSTITUTE(SUBSTITUTE(INDEX(IF(PURCHASE_DESCRIPTION&lt;&gt;"",PURCHASE_DESCRIPTION&amp;":","")&amp;A7:A35,SMALL(IF(ISNUMBER(P7:P35),IF(P7:P35&gt;0,IF(S7:S35&lt;&gt;"",ROW(P7:P35)-MIN(ROW(P7:P35))+1))),ROW()-ROW(A$38)+1)),"|",";")," ","_")),"")</f>
        <v>0</v>
      </c>
    </row>
    <row r="47" spans="1:19">
      <c r="K47">
        <f t="array" ref="K47">IFERROR(CONCATENATE(TEXT(INDEX(K7:K35,SMALL(IF(ISNUMBER(K7:K35),IF(K7:K35&gt;0,IF(N7:N35&lt;&gt;"",ROW(K7:K35)-MIN(ROW(K7:K35))+1))),ROW()-ROW(A$38)+1)),"##0"),",",INDEX(N7:N35,SMALL(IF(ISNUMBER(K7:K35),IF(K7:K35&gt;0,IF(N7:N35&lt;&gt;"",ROW(K7:K35)-MIN(ROW(K7:K35))+1))),ROW()-ROW(A$38)+1)),",",SUBSTITUTE(INDEX(IF(PURCHASE_DESCRIPTION&lt;&gt;"",PURCHASE_DESCRIPTION&amp;":","")&amp;A7:A35,SMALL(IF(ISNUMBER(K7:K35),IF(K7:K35&gt;0,IF(N7:N35&lt;&gt;"",ROW(K7:K35)-MIN(ROW(K7:K35))+1))),ROW()-ROW(A$38)+1)),",",";")),"")</f>
        <v>0</v>
      </c>
      <c r="P47">
        <f t="array" ref="P47">IFERROR(CONCATENATE(INDEX(S7:S35,SMALL(IF(ISNUMBER(P7:P35),IF(P7:P35&gt;0,IF(S7:S35&lt;&gt;"",ROW(P7:P35)-MIN(ROW(P7:P35))+1))),ROW()-ROW(A$38)+1)),"|",TEXT(INDEX(P7:P35,SMALL(IF(ISNUMBER(P7:P35),IF(P7:P35&gt;0,IF(S7:S35&lt;&gt;"",ROW(P7:P35)-MIN(ROW(P7:P35))+1))),ROW()-ROW(A$38)+1)),"##0"),"|",SUBSTITUTE(SUBSTITUTE(INDEX(IF(PURCHASE_DESCRIPTION&lt;&gt;"",PURCHASE_DESCRIPTION&amp;":","")&amp;A7:A35,SMALL(IF(ISNUMBER(P7:P35),IF(P7:P35&gt;0,IF(S7:S35&lt;&gt;"",ROW(P7:P35)-MIN(ROW(P7:P35))+1))),ROW()-ROW(A$38)+1)),"|",";")," ","_")),"")</f>
        <v>0</v>
      </c>
    </row>
    <row r="48" spans="1:19">
      <c r="K48">
        <f t="array" ref="K48">IFERROR(CONCATENATE(TEXT(INDEX(K7:K35,SMALL(IF(ISNUMBER(K7:K35),IF(K7:K35&gt;0,IF(N7:N35&lt;&gt;"",ROW(K7:K35)-MIN(ROW(K7:K35))+1))),ROW()-ROW(A$38)+1)),"##0"),",",INDEX(N7:N35,SMALL(IF(ISNUMBER(K7:K35),IF(K7:K35&gt;0,IF(N7:N35&lt;&gt;"",ROW(K7:K35)-MIN(ROW(K7:K35))+1))),ROW()-ROW(A$38)+1)),",",SUBSTITUTE(INDEX(IF(PURCHASE_DESCRIPTION&lt;&gt;"",PURCHASE_DESCRIPTION&amp;":","")&amp;A7:A35,SMALL(IF(ISNUMBER(K7:K35),IF(K7:K35&gt;0,IF(N7:N35&lt;&gt;"",ROW(K7:K35)-MIN(ROW(K7:K35))+1))),ROW()-ROW(A$38)+1)),",",";")),"")</f>
        <v>0</v>
      </c>
      <c r="P48">
        <f t="array" ref="P48">IFERROR(CONCATENATE(INDEX(S7:S35,SMALL(IF(ISNUMBER(P7:P35),IF(P7:P35&gt;0,IF(S7:S35&lt;&gt;"",ROW(P7:P35)-MIN(ROW(P7:P35))+1))),ROW()-ROW(A$38)+1)),"|",TEXT(INDEX(P7:P35,SMALL(IF(ISNUMBER(P7:P35),IF(P7:P35&gt;0,IF(S7:S35&lt;&gt;"",ROW(P7:P35)-MIN(ROW(P7:P35))+1))),ROW()-ROW(A$38)+1)),"##0"),"|",SUBSTITUTE(SUBSTITUTE(INDEX(IF(PURCHASE_DESCRIPTION&lt;&gt;"",PURCHASE_DESCRIPTION&amp;":","")&amp;A7:A35,SMALL(IF(ISNUMBER(P7:P35),IF(P7:P35&gt;0,IF(S7:S35&lt;&gt;"",ROW(P7:P35)-MIN(ROW(P7:P35))+1))),ROW()-ROW(A$38)+1)),"|",";")," ","_")),"")</f>
        <v>0</v>
      </c>
    </row>
    <row r="49" spans="11:16">
      <c r="K49">
        <f t="array" ref="K49">IFERROR(CONCATENATE(TEXT(INDEX(K7:K35,SMALL(IF(ISNUMBER(K7:K35),IF(K7:K35&gt;0,IF(N7:N35&lt;&gt;"",ROW(K7:K35)-MIN(ROW(K7:K35))+1))),ROW()-ROW(A$38)+1)),"##0"),",",INDEX(N7:N35,SMALL(IF(ISNUMBER(K7:K35),IF(K7:K35&gt;0,IF(N7:N35&lt;&gt;"",ROW(K7:K35)-MIN(ROW(K7:K35))+1))),ROW()-ROW(A$38)+1)),",",SUBSTITUTE(INDEX(IF(PURCHASE_DESCRIPTION&lt;&gt;"",PURCHASE_DESCRIPTION&amp;":","")&amp;A7:A35,SMALL(IF(ISNUMBER(K7:K35),IF(K7:K35&gt;0,IF(N7:N35&lt;&gt;"",ROW(K7:K35)-MIN(ROW(K7:K35))+1))),ROW()-ROW(A$38)+1)),",",";")),"")</f>
        <v>0</v>
      </c>
      <c r="P49">
        <f t="array" ref="P49">IFERROR(CONCATENATE(INDEX(S7:S35,SMALL(IF(ISNUMBER(P7:P35),IF(P7:P35&gt;0,IF(S7:S35&lt;&gt;"",ROW(P7:P35)-MIN(ROW(P7:P35))+1))),ROW()-ROW(A$38)+1)),"|",TEXT(INDEX(P7:P35,SMALL(IF(ISNUMBER(P7:P35),IF(P7:P35&gt;0,IF(S7:S35&lt;&gt;"",ROW(P7:P35)-MIN(ROW(P7:P35))+1))),ROW()-ROW(A$38)+1)),"##0"),"|",SUBSTITUTE(SUBSTITUTE(INDEX(IF(PURCHASE_DESCRIPTION&lt;&gt;"",PURCHASE_DESCRIPTION&amp;":","")&amp;A7:A35,SMALL(IF(ISNUMBER(P7:P35),IF(P7:P35&gt;0,IF(S7:S35&lt;&gt;"",ROW(P7:P35)-MIN(ROW(P7:P35))+1))),ROW()-ROW(A$38)+1)),"|",";")," ","_")),"")</f>
        <v>0</v>
      </c>
    </row>
    <row r="50" spans="11:16">
      <c r="K50">
        <f t="array" ref="K50">IFERROR(CONCATENATE(TEXT(INDEX(K7:K35,SMALL(IF(ISNUMBER(K7:K35),IF(K7:K35&gt;0,IF(N7:N35&lt;&gt;"",ROW(K7:K35)-MIN(ROW(K7:K35))+1))),ROW()-ROW(A$38)+1)),"##0"),",",INDEX(N7:N35,SMALL(IF(ISNUMBER(K7:K35),IF(K7:K35&gt;0,IF(N7:N35&lt;&gt;"",ROW(K7:K35)-MIN(ROW(K7:K35))+1))),ROW()-ROW(A$38)+1)),",",SUBSTITUTE(INDEX(IF(PURCHASE_DESCRIPTION&lt;&gt;"",PURCHASE_DESCRIPTION&amp;":","")&amp;A7:A35,SMALL(IF(ISNUMBER(K7:K35),IF(K7:K35&gt;0,IF(N7:N35&lt;&gt;"",ROW(K7:K35)-MIN(ROW(K7:K35))+1))),ROW()-ROW(A$38)+1)),",",";")),"")</f>
        <v>0</v>
      </c>
      <c r="P50">
        <f t="array" ref="P50">IFERROR(CONCATENATE(INDEX(S7:S35,SMALL(IF(ISNUMBER(P7:P35),IF(P7:P35&gt;0,IF(S7:S35&lt;&gt;"",ROW(P7:P35)-MIN(ROW(P7:P35))+1))),ROW()-ROW(A$38)+1)),"|",TEXT(INDEX(P7:P35,SMALL(IF(ISNUMBER(P7:P35),IF(P7:P35&gt;0,IF(S7:S35&lt;&gt;"",ROW(P7:P35)-MIN(ROW(P7:P35))+1))),ROW()-ROW(A$38)+1)),"##0"),"|",SUBSTITUTE(SUBSTITUTE(INDEX(IF(PURCHASE_DESCRIPTION&lt;&gt;"",PURCHASE_DESCRIPTION&amp;":","")&amp;A7:A35,SMALL(IF(ISNUMBER(P7:P35),IF(P7:P35&gt;0,IF(S7:S35&lt;&gt;"",ROW(P7:P35)-MIN(ROW(P7:P35))+1))),ROW()-ROW(A$38)+1)),"|",";")," ","_")),"")</f>
        <v>0</v>
      </c>
    </row>
    <row r="51" spans="11:16">
      <c r="K51">
        <f t="array" ref="K51">IFERROR(CONCATENATE(TEXT(INDEX(K7:K35,SMALL(IF(ISNUMBER(K7:K35),IF(K7:K35&gt;0,IF(N7:N35&lt;&gt;"",ROW(K7:K35)-MIN(ROW(K7:K35))+1))),ROW()-ROW(A$38)+1)),"##0"),",",INDEX(N7:N35,SMALL(IF(ISNUMBER(K7:K35),IF(K7:K35&gt;0,IF(N7:N35&lt;&gt;"",ROW(K7:K35)-MIN(ROW(K7:K35))+1))),ROW()-ROW(A$38)+1)),",",SUBSTITUTE(INDEX(IF(PURCHASE_DESCRIPTION&lt;&gt;"",PURCHASE_DESCRIPTION&amp;":","")&amp;A7:A35,SMALL(IF(ISNUMBER(K7:K35),IF(K7:K35&gt;0,IF(N7:N35&lt;&gt;"",ROW(K7:K35)-MIN(ROW(K7:K35))+1))),ROW()-ROW(A$38)+1)),",",";")),"")</f>
        <v>0</v>
      </c>
      <c r="P51">
        <f t="array" ref="P51">IFERROR(CONCATENATE(INDEX(S7:S35,SMALL(IF(ISNUMBER(P7:P35),IF(P7:P35&gt;0,IF(S7:S35&lt;&gt;"",ROW(P7:P35)-MIN(ROW(P7:P35))+1))),ROW()-ROW(A$38)+1)),"|",TEXT(INDEX(P7:P35,SMALL(IF(ISNUMBER(P7:P35),IF(P7:P35&gt;0,IF(S7:S35&lt;&gt;"",ROW(P7:P35)-MIN(ROW(P7:P35))+1))),ROW()-ROW(A$38)+1)),"##0"),"|",SUBSTITUTE(SUBSTITUTE(INDEX(IF(PURCHASE_DESCRIPTION&lt;&gt;"",PURCHASE_DESCRIPTION&amp;":","")&amp;A7:A35,SMALL(IF(ISNUMBER(P7:P35),IF(P7:P35&gt;0,IF(S7:S35&lt;&gt;"",ROW(P7:P35)-MIN(ROW(P7:P35))+1))),ROW()-ROW(A$38)+1)),"|",";")," ","_")),"")</f>
        <v>0</v>
      </c>
    </row>
    <row r="52" spans="11:16">
      <c r="K52">
        <f t="array" ref="K52">IFERROR(CONCATENATE(TEXT(INDEX(K7:K35,SMALL(IF(ISNUMBER(K7:K35),IF(K7:K35&gt;0,IF(N7:N35&lt;&gt;"",ROW(K7:K35)-MIN(ROW(K7:K35))+1))),ROW()-ROW(A$38)+1)),"##0"),",",INDEX(N7:N35,SMALL(IF(ISNUMBER(K7:K35),IF(K7:K35&gt;0,IF(N7:N35&lt;&gt;"",ROW(K7:K35)-MIN(ROW(K7:K35))+1))),ROW()-ROW(A$38)+1)),",",SUBSTITUTE(INDEX(IF(PURCHASE_DESCRIPTION&lt;&gt;"",PURCHASE_DESCRIPTION&amp;":","")&amp;A7:A35,SMALL(IF(ISNUMBER(K7:K35),IF(K7:K35&gt;0,IF(N7:N35&lt;&gt;"",ROW(K7:K35)-MIN(ROW(K7:K35))+1))),ROW()-ROW(A$38)+1)),",",";")),"")</f>
        <v>0</v>
      </c>
      <c r="P52">
        <f t="array" ref="P52">IFERROR(CONCATENATE(INDEX(S7:S35,SMALL(IF(ISNUMBER(P7:P35),IF(P7:P35&gt;0,IF(S7:S35&lt;&gt;"",ROW(P7:P35)-MIN(ROW(P7:P35))+1))),ROW()-ROW(A$38)+1)),"|",TEXT(INDEX(P7:P35,SMALL(IF(ISNUMBER(P7:P35),IF(P7:P35&gt;0,IF(S7:S35&lt;&gt;"",ROW(P7:P35)-MIN(ROW(P7:P35))+1))),ROW()-ROW(A$38)+1)),"##0"),"|",SUBSTITUTE(SUBSTITUTE(INDEX(IF(PURCHASE_DESCRIPTION&lt;&gt;"",PURCHASE_DESCRIPTION&amp;":","")&amp;A7:A35,SMALL(IF(ISNUMBER(P7:P35),IF(P7:P35&gt;0,IF(S7:S35&lt;&gt;"",ROW(P7:P35)-MIN(ROW(P7:P35))+1))),ROW()-ROW(A$38)+1)),"|",";")," ","_")),"")</f>
        <v>0</v>
      </c>
    </row>
    <row r="53" spans="11:16">
      <c r="K53">
        <f t="array" ref="K53">IFERROR(CONCATENATE(TEXT(INDEX(K7:K35,SMALL(IF(ISNUMBER(K7:K35),IF(K7:K35&gt;0,IF(N7:N35&lt;&gt;"",ROW(K7:K35)-MIN(ROW(K7:K35))+1))),ROW()-ROW(A$38)+1)),"##0"),",",INDEX(N7:N35,SMALL(IF(ISNUMBER(K7:K35),IF(K7:K35&gt;0,IF(N7:N35&lt;&gt;"",ROW(K7:K35)-MIN(ROW(K7:K35))+1))),ROW()-ROW(A$38)+1)),",",SUBSTITUTE(INDEX(IF(PURCHASE_DESCRIPTION&lt;&gt;"",PURCHASE_DESCRIPTION&amp;":","")&amp;A7:A35,SMALL(IF(ISNUMBER(K7:K35),IF(K7:K35&gt;0,IF(N7:N35&lt;&gt;"",ROW(K7:K35)-MIN(ROW(K7:K35))+1))),ROW()-ROW(A$38)+1)),",",";")),"")</f>
        <v>0</v>
      </c>
      <c r="P53">
        <f t="array" ref="P53">IFERROR(CONCATENATE(INDEX(S7:S35,SMALL(IF(ISNUMBER(P7:P35),IF(P7:P35&gt;0,IF(S7:S35&lt;&gt;"",ROW(P7:P35)-MIN(ROW(P7:P35))+1))),ROW()-ROW(A$38)+1)),"|",TEXT(INDEX(P7:P35,SMALL(IF(ISNUMBER(P7:P35),IF(P7:P35&gt;0,IF(S7:S35&lt;&gt;"",ROW(P7:P35)-MIN(ROW(P7:P35))+1))),ROW()-ROW(A$38)+1)),"##0"),"|",SUBSTITUTE(SUBSTITUTE(INDEX(IF(PURCHASE_DESCRIPTION&lt;&gt;"",PURCHASE_DESCRIPTION&amp;":","")&amp;A7:A35,SMALL(IF(ISNUMBER(P7:P35),IF(P7:P35&gt;0,IF(S7:S35&lt;&gt;"",ROW(P7:P35)-MIN(ROW(P7:P35))+1))),ROW()-ROW(A$38)+1)),"|",";")," ","_")),"")</f>
        <v>0</v>
      </c>
    </row>
    <row r="54" spans="11:16">
      <c r="K54">
        <f t="array" ref="K54">IFERROR(CONCATENATE(TEXT(INDEX(K7:K35,SMALL(IF(ISNUMBER(K7:K35),IF(K7:K35&gt;0,IF(N7:N35&lt;&gt;"",ROW(K7:K35)-MIN(ROW(K7:K35))+1))),ROW()-ROW(A$38)+1)),"##0"),",",INDEX(N7:N35,SMALL(IF(ISNUMBER(K7:K35),IF(K7:K35&gt;0,IF(N7:N35&lt;&gt;"",ROW(K7:K35)-MIN(ROW(K7:K35))+1))),ROW()-ROW(A$38)+1)),",",SUBSTITUTE(INDEX(IF(PURCHASE_DESCRIPTION&lt;&gt;"",PURCHASE_DESCRIPTION&amp;":","")&amp;A7:A35,SMALL(IF(ISNUMBER(K7:K35),IF(K7:K35&gt;0,IF(N7:N35&lt;&gt;"",ROW(K7:K35)-MIN(ROW(K7:K35))+1))),ROW()-ROW(A$38)+1)),",",";")),"")</f>
        <v>0</v>
      </c>
      <c r="P54">
        <f t="array" ref="P54">IFERROR(CONCATENATE(INDEX(S7:S35,SMALL(IF(ISNUMBER(P7:P35),IF(P7:P35&gt;0,IF(S7:S35&lt;&gt;"",ROW(P7:P35)-MIN(ROW(P7:P35))+1))),ROW()-ROW(A$38)+1)),"|",TEXT(INDEX(P7:P35,SMALL(IF(ISNUMBER(P7:P35),IF(P7:P35&gt;0,IF(S7:S35&lt;&gt;"",ROW(P7:P35)-MIN(ROW(P7:P35))+1))),ROW()-ROW(A$38)+1)),"##0"),"|",SUBSTITUTE(SUBSTITUTE(INDEX(IF(PURCHASE_DESCRIPTION&lt;&gt;"",PURCHASE_DESCRIPTION&amp;":","")&amp;A7:A35,SMALL(IF(ISNUMBER(P7:P35),IF(P7:P35&gt;0,IF(S7:S35&lt;&gt;"",ROW(P7:P35)-MIN(ROW(P7:P35))+1))),ROW()-ROW(A$38)+1)),"|",";")," ","_")),"")</f>
        <v>0</v>
      </c>
    </row>
    <row r="55" spans="11:16">
      <c r="K55">
        <f t="array" ref="K55">IFERROR(CONCATENATE(TEXT(INDEX(K7:K35,SMALL(IF(ISNUMBER(K7:K35),IF(K7:K35&gt;0,IF(N7:N35&lt;&gt;"",ROW(K7:K35)-MIN(ROW(K7:K35))+1))),ROW()-ROW(A$38)+1)),"##0"),",",INDEX(N7:N35,SMALL(IF(ISNUMBER(K7:K35),IF(K7:K35&gt;0,IF(N7:N35&lt;&gt;"",ROW(K7:K35)-MIN(ROW(K7:K35))+1))),ROW()-ROW(A$38)+1)),",",SUBSTITUTE(INDEX(IF(PURCHASE_DESCRIPTION&lt;&gt;"",PURCHASE_DESCRIPTION&amp;":","")&amp;A7:A35,SMALL(IF(ISNUMBER(K7:K35),IF(K7:K35&gt;0,IF(N7:N35&lt;&gt;"",ROW(K7:K35)-MIN(ROW(K7:K35))+1))),ROW()-ROW(A$38)+1)),",",";")),"")</f>
        <v>0</v>
      </c>
      <c r="P55">
        <f t="array" ref="P55">IFERROR(CONCATENATE(INDEX(S7:S35,SMALL(IF(ISNUMBER(P7:P35),IF(P7:P35&gt;0,IF(S7:S35&lt;&gt;"",ROW(P7:P35)-MIN(ROW(P7:P35))+1))),ROW()-ROW(A$38)+1)),"|",TEXT(INDEX(P7:P35,SMALL(IF(ISNUMBER(P7:P35),IF(P7:P35&gt;0,IF(S7:S35&lt;&gt;"",ROW(P7:P35)-MIN(ROW(P7:P35))+1))),ROW()-ROW(A$38)+1)),"##0"),"|",SUBSTITUTE(SUBSTITUTE(INDEX(IF(PURCHASE_DESCRIPTION&lt;&gt;"",PURCHASE_DESCRIPTION&amp;":","")&amp;A7:A35,SMALL(IF(ISNUMBER(P7:P35),IF(P7:P35&gt;0,IF(S7:S35&lt;&gt;"",ROW(P7:P35)-MIN(ROW(P7:P35))+1))),ROW()-ROW(A$38)+1)),"|",";")," ","_")),"")</f>
        <v>0</v>
      </c>
    </row>
    <row r="56" spans="11:16">
      <c r="K56">
        <f t="array" ref="K56">IFERROR(CONCATENATE(TEXT(INDEX(K7:K35,SMALL(IF(ISNUMBER(K7:K35),IF(K7:K35&gt;0,IF(N7:N35&lt;&gt;"",ROW(K7:K35)-MIN(ROW(K7:K35))+1))),ROW()-ROW(A$38)+1)),"##0"),",",INDEX(N7:N35,SMALL(IF(ISNUMBER(K7:K35),IF(K7:K35&gt;0,IF(N7:N35&lt;&gt;"",ROW(K7:K35)-MIN(ROW(K7:K35))+1))),ROW()-ROW(A$38)+1)),",",SUBSTITUTE(INDEX(IF(PURCHASE_DESCRIPTION&lt;&gt;"",PURCHASE_DESCRIPTION&amp;":","")&amp;A7:A35,SMALL(IF(ISNUMBER(K7:K35),IF(K7:K35&gt;0,IF(N7:N35&lt;&gt;"",ROW(K7:K35)-MIN(ROW(K7:K35))+1))),ROW()-ROW(A$38)+1)),",",";")),"")</f>
        <v>0</v>
      </c>
      <c r="P56">
        <f t="array" ref="P56">IFERROR(CONCATENATE(INDEX(S7:S35,SMALL(IF(ISNUMBER(P7:P35),IF(P7:P35&gt;0,IF(S7:S35&lt;&gt;"",ROW(P7:P35)-MIN(ROW(P7:P35))+1))),ROW()-ROW(A$38)+1)),"|",TEXT(INDEX(P7:P35,SMALL(IF(ISNUMBER(P7:P35),IF(P7:P35&gt;0,IF(S7:S35&lt;&gt;"",ROW(P7:P35)-MIN(ROW(P7:P35))+1))),ROW()-ROW(A$38)+1)),"##0"),"|",SUBSTITUTE(SUBSTITUTE(INDEX(IF(PURCHASE_DESCRIPTION&lt;&gt;"",PURCHASE_DESCRIPTION&amp;":","")&amp;A7:A35,SMALL(IF(ISNUMBER(P7:P35),IF(P7:P35&gt;0,IF(S7:S35&lt;&gt;"",ROW(P7:P35)-MIN(ROW(P7:P35))+1))),ROW()-ROW(A$38)+1)),"|",";")," ","_")),"")</f>
        <v>0</v>
      </c>
    </row>
    <row r="57" spans="11:16">
      <c r="K57">
        <f t="array" ref="K57">IFERROR(CONCATENATE(TEXT(INDEX(K7:K35,SMALL(IF(ISNUMBER(K7:K35),IF(K7:K35&gt;0,IF(N7:N35&lt;&gt;"",ROW(K7:K35)-MIN(ROW(K7:K35))+1))),ROW()-ROW(A$38)+1)),"##0"),",",INDEX(N7:N35,SMALL(IF(ISNUMBER(K7:K35),IF(K7:K35&gt;0,IF(N7:N35&lt;&gt;"",ROW(K7:K35)-MIN(ROW(K7:K35))+1))),ROW()-ROW(A$38)+1)),",",SUBSTITUTE(INDEX(IF(PURCHASE_DESCRIPTION&lt;&gt;"",PURCHASE_DESCRIPTION&amp;":","")&amp;A7:A35,SMALL(IF(ISNUMBER(K7:K35),IF(K7:K35&gt;0,IF(N7:N35&lt;&gt;"",ROW(K7:K35)-MIN(ROW(K7:K35))+1))),ROW()-ROW(A$38)+1)),",",";")),"")</f>
        <v>0</v>
      </c>
      <c r="P57">
        <f t="array" ref="P57">IFERROR(CONCATENATE(INDEX(S7:S35,SMALL(IF(ISNUMBER(P7:P35),IF(P7:P35&gt;0,IF(S7:S35&lt;&gt;"",ROW(P7:P35)-MIN(ROW(P7:P35))+1))),ROW()-ROW(A$38)+1)),"|",TEXT(INDEX(P7:P35,SMALL(IF(ISNUMBER(P7:P35),IF(P7:P35&gt;0,IF(S7:S35&lt;&gt;"",ROW(P7:P35)-MIN(ROW(P7:P35))+1))),ROW()-ROW(A$38)+1)),"##0"),"|",SUBSTITUTE(SUBSTITUTE(INDEX(IF(PURCHASE_DESCRIPTION&lt;&gt;"",PURCHASE_DESCRIPTION&amp;":","")&amp;A7:A35,SMALL(IF(ISNUMBER(P7:P35),IF(P7:P35&gt;0,IF(S7:S35&lt;&gt;"",ROW(P7:P35)-MIN(ROW(P7:P35))+1))),ROW()-ROW(A$38)+1)),"|",";")," ","_")),"")</f>
        <v>0</v>
      </c>
    </row>
    <row r="58" spans="11:16">
      <c r="K58">
        <f t="array" ref="K58">IFERROR(CONCATENATE(TEXT(INDEX(K7:K35,SMALL(IF(ISNUMBER(K7:K35),IF(K7:K35&gt;0,IF(N7:N35&lt;&gt;"",ROW(K7:K35)-MIN(ROW(K7:K35))+1))),ROW()-ROW(A$38)+1)),"##0"),",",INDEX(N7:N35,SMALL(IF(ISNUMBER(K7:K35),IF(K7:K35&gt;0,IF(N7:N35&lt;&gt;"",ROW(K7:K35)-MIN(ROW(K7:K35))+1))),ROW()-ROW(A$38)+1)),",",SUBSTITUTE(INDEX(IF(PURCHASE_DESCRIPTION&lt;&gt;"",PURCHASE_DESCRIPTION&amp;":","")&amp;A7:A35,SMALL(IF(ISNUMBER(K7:K35),IF(K7:K35&gt;0,IF(N7:N35&lt;&gt;"",ROW(K7:K35)-MIN(ROW(K7:K35))+1))),ROW()-ROW(A$38)+1)),",",";")),"")</f>
        <v>0</v>
      </c>
      <c r="P58">
        <f t="array" ref="P58">IFERROR(CONCATENATE(INDEX(S7:S35,SMALL(IF(ISNUMBER(P7:P35),IF(P7:P35&gt;0,IF(S7:S35&lt;&gt;"",ROW(P7:P35)-MIN(ROW(P7:P35))+1))),ROW()-ROW(A$38)+1)),"|",TEXT(INDEX(P7:P35,SMALL(IF(ISNUMBER(P7:P35),IF(P7:P35&gt;0,IF(S7:S35&lt;&gt;"",ROW(P7:P35)-MIN(ROW(P7:P35))+1))),ROW()-ROW(A$38)+1)),"##0"),"|",SUBSTITUTE(SUBSTITUTE(INDEX(IF(PURCHASE_DESCRIPTION&lt;&gt;"",PURCHASE_DESCRIPTION&amp;":","")&amp;A7:A35,SMALL(IF(ISNUMBER(P7:P35),IF(P7:P35&gt;0,IF(S7:S35&lt;&gt;"",ROW(P7:P35)-MIN(ROW(P7:P35))+1))),ROW()-ROW(A$38)+1)),"|",";")," ","_")),"")</f>
        <v>0</v>
      </c>
    </row>
    <row r="59" spans="11:16">
      <c r="K59">
        <f t="array" ref="K59">IFERROR(CONCATENATE(TEXT(INDEX(K7:K35,SMALL(IF(ISNUMBER(K7:K35),IF(K7:K35&gt;0,IF(N7:N35&lt;&gt;"",ROW(K7:K35)-MIN(ROW(K7:K35))+1))),ROW()-ROW(A$38)+1)),"##0"),",",INDEX(N7:N35,SMALL(IF(ISNUMBER(K7:K35),IF(K7:K35&gt;0,IF(N7:N35&lt;&gt;"",ROW(K7:K35)-MIN(ROW(K7:K35))+1))),ROW()-ROW(A$38)+1)),",",SUBSTITUTE(INDEX(IF(PURCHASE_DESCRIPTION&lt;&gt;"",PURCHASE_DESCRIPTION&amp;":","")&amp;A7:A35,SMALL(IF(ISNUMBER(K7:K35),IF(K7:K35&gt;0,IF(N7:N35&lt;&gt;"",ROW(K7:K35)-MIN(ROW(K7:K35))+1))),ROW()-ROW(A$38)+1)),",",";")),"")</f>
        <v>0</v>
      </c>
      <c r="P59">
        <f t="array" ref="P59">IFERROR(CONCATENATE(INDEX(S7:S35,SMALL(IF(ISNUMBER(P7:P35),IF(P7:P35&gt;0,IF(S7:S35&lt;&gt;"",ROW(P7:P35)-MIN(ROW(P7:P35))+1))),ROW()-ROW(A$38)+1)),"|",TEXT(INDEX(P7:P35,SMALL(IF(ISNUMBER(P7:P35),IF(P7:P35&gt;0,IF(S7:S35&lt;&gt;"",ROW(P7:P35)-MIN(ROW(P7:P35))+1))),ROW()-ROW(A$38)+1)),"##0"),"|",SUBSTITUTE(SUBSTITUTE(INDEX(IF(PURCHASE_DESCRIPTION&lt;&gt;"",PURCHASE_DESCRIPTION&amp;":","")&amp;A7:A35,SMALL(IF(ISNUMBER(P7:P35),IF(P7:P35&gt;0,IF(S7:S35&lt;&gt;"",ROW(P7:P35)-MIN(ROW(P7:P35))+1))),ROW()-ROW(A$38)+1)),"|",";")," ","_")),"")</f>
        <v>0</v>
      </c>
    </row>
    <row r="60" spans="11:16">
      <c r="K60">
        <f t="array" ref="K60">IFERROR(CONCATENATE(TEXT(INDEX(K7:K35,SMALL(IF(ISNUMBER(K7:K35),IF(K7:K35&gt;0,IF(N7:N35&lt;&gt;"",ROW(K7:K35)-MIN(ROW(K7:K35))+1))),ROW()-ROW(A$38)+1)),"##0"),",",INDEX(N7:N35,SMALL(IF(ISNUMBER(K7:K35),IF(K7:K35&gt;0,IF(N7:N35&lt;&gt;"",ROW(K7:K35)-MIN(ROW(K7:K35))+1))),ROW()-ROW(A$38)+1)),",",SUBSTITUTE(INDEX(IF(PURCHASE_DESCRIPTION&lt;&gt;"",PURCHASE_DESCRIPTION&amp;":","")&amp;A7:A35,SMALL(IF(ISNUMBER(K7:K35),IF(K7:K35&gt;0,IF(N7:N35&lt;&gt;"",ROW(K7:K35)-MIN(ROW(K7:K35))+1))),ROW()-ROW(A$38)+1)),",",";")),"")</f>
        <v>0</v>
      </c>
      <c r="P60">
        <f t="array" ref="P60">IFERROR(CONCATENATE(INDEX(S7:S35,SMALL(IF(ISNUMBER(P7:P35),IF(P7:P35&gt;0,IF(S7:S35&lt;&gt;"",ROW(P7:P35)-MIN(ROW(P7:P35))+1))),ROW()-ROW(A$38)+1)),"|",TEXT(INDEX(P7:P35,SMALL(IF(ISNUMBER(P7:P35),IF(P7:P35&gt;0,IF(S7:S35&lt;&gt;"",ROW(P7:P35)-MIN(ROW(P7:P35))+1))),ROW()-ROW(A$38)+1)),"##0"),"|",SUBSTITUTE(SUBSTITUTE(INDEX(IF(PURCHASE_DESCRIPTION&lt;&gt;"",PURCHASE_DESCRIPTION&amp;":","")&amp;A7:A35,SMALL(IF(ISNUMBER(P7:P35),IF(P7:P35&gt;0,IF(S7:S35&lt;&gt;"",ROW(P7:P35)-MIN(ROW(P7:P35))+1))),ROW()-ROW(A$38)+1)),"|",";")," ","_")),"")</f>
        <v>0</v>
      </c>
    </row>
    <row r="61" spans="11:16">
      <c r="K61">
        <f t="array" ref="K61">IFERROR(CONCATENATE(TEXT(INDEX(K7:K35,SMALL(IF(ISNUMBER(K7:K35),IF(K7:K35&gt;0,IF(N7:N35&lt;&gt;"",ROW(K7:K35)-MIN(ROW(K7:K35))+1))),ROW()-ROW(A$38)+1)),"##0"),",",INDEX(N7:N35,SMALL(IF(ISNUMBER(K7:K35),IF(K7:K35&gt;0,IF(N7:N35&lt;&gt;"",ROW(K7:K35)-MIN(ROW(K7:K35))+1))),ROW()-ROW(A$38)+1)),",",SUBSTITUTE(INDEX(IF(PURCHASE_DESCRIPTION&lt;&gt;"",PURCHASE_DESCRIPTION&amp;":","")&amp;A7:A35,SMALL(IF(ISNUMBER(K7:K35),IF(K7:K35&gt;0,IF(N7:N35&lt;&gt;"",ROW(K7:K35)-MIN(ROW(K7:K35))+1))),ROW()-ROW(A$38)+1)),",",";")),"")</f>
        <v>0</v>
      </c>
      <c r="P61">
        <f t="array" ref="P61">IFERROR(CONCATENATE(INDEX(S7:S35,SMALL(IF(ISNUMBER(P7:P35),IF(P7:P35&gt;0,IF(S7:S35&lt;&gt;"",ROW(P7:P35)-MIN(ROW(P7:P35))+1))),ROW()-ROW(A$38)+1)),"|",TEXT(INDEX(P7:P35,SMALL(IF(ISNUMBER(P7:P35),IF(P7:P35&gt;0,IF(S7:S35&lt;&gt;"",ROW(P7:P35)-MIN(ROW(P7:P35))+1))),ROW()-ROW(A$38)+1)),"##0"),"|",SUBSTITUTE(SUBSTITUTE(INDEX(IF(PURCHASE_DESCRIPTION&lt;&gt;"",PURCHASE_DESCRIPTION&amp;":","")&amp;A7:A35,SMALL(IF(ISNUMBER(P7:P35),IF(P7:P35&gt;0,IF(S7:S35&lt;&gt;"",ROW(P7:P35)-MIN(ROW(P7:P35))+1))),ROW()-ROW(A$38)+1)),"|",";")," ","_")),"")</f>
        <v>0</v>
      </c>
    </row>
    <row r="62" spans="11:16">
      <c r="K62">
        <f t="array" ref="K62">IFERROR(CONCATENATE(TEXT(INDEX(K7:K35,SMALL(IF(ISNUMBER(K7:K35),IF(K7:K35&gt;0,IF(N7:N35&lt;&gt;"",ROW(K7:K35)-MIN(ROW(K7:K35))+1))),ROW()-ROW(A$38)+1)),"##0"),",",INDEX(N7:N35,SMALL(IF(ISNUMBER(K7:K35),IF(K7:K35&gt;0,IF(N7:N35&lt;&gt;"",ROW(K7:K35)-MIN(ROW(K7:K35))+1))),ROW()-ROW(A$38)+1)),",",SUBSTITUTE(INDEX(IF(PURCHASE_DESCRIPTION&lt;&gt;"",PURCHASE_DESCRIPTION&amp;":","")&amp;A7:A35,SMALL(IF(ISNUMBER(K7:K35),IF(K7:K35&gt;0,IF(N7:N35&lt;&gt;"",ROW(K7:K35)-MIN(ROW(K7:K35))+1))),ROW()-ROW(A$38)+1)),",",";")),"")</f>
        <v>0</v>
      </c>
      <c r="P62">
        <f t="array" ref="P62">IFERROR(CONCATENATE(INDEX(S7:S35,SMALL(IF(ISNUMBER(P7:P35),IF(P7:P35&gt;0,IF(S7:S35&lt;&gt;"",ROW(P7:P35)-MIN(ROW(P7:P35))+1))),ROW()-ROW(A$38)+1)),"|",TEXT(INDEX(P7:P35,SMALL(IF(ISNUMBER(P7:P35),IF(P7:P35&gt;0,IF(S7:S35&lt;&gt;"",ROW(P7:P35)-MIN(ROW(P7:P35))+1))),ROW()-ROW(A$38)+1)),"##0"),"|",SUBSTITUTE(SUBSTITUTE(INDEX(IF(PURCHASE_DESCRIPTION&lt;&gt;"",PURCHASE_DESCRIPTION&amp;":","")&amp;A7:A35,SMALL(IF(ISNUMBER(P7:P35),IF(P7:P35&gt;0,IF(S7:S35&lt;&gt;"",ROW(P7:P35)-MIN(ROW(P7:P35))+1))),ROW()-ROW(A$38)+1)),"|",";")," ","_")),"")</f>
        <v>0</v>
      </c>
    </row>
    <row r="63" spans="11:16">
      <c r="K63">
        <f t="array" ref="K63">IFERROR(CONCATENATE(TEXT(INDEX(K7:K35,SMALL(IF(ISNUMBER(K7:K35),IF(K7:K35&gt;0,IF(N7:N35&lt;&gt;"",ROW(K7:K35)-MIN(ROW(K7:K35))+1))),ROW()-ROW(A$38)+1)),"##0"),",",INDEX(N7:N35,SMALL(IF(ISNUMBER(K7:K35),IF(K7:K35&gt;0,IF(N7:N35&lt;&gt;"",ROW(K7:K35)-MIN(ROW(K7:K35))+1))),ROW()-ROW(A$38)+1)),",",SUBSTITUTE(INDEX(IF(PURCHASE_DESCRIPTION&lt;&gt;"",PURCHASE_DESCRIPTION&amp;":","")&amp;A7:A35,SMALL(IF(ISNUMBER(K7:K35),IF(K7:K35&gt;0,IF(N7:N35&lt;&gt;"",ROW(K7:K35)-MIN(ROW(K7:K35))+1))),ROW()-ROW(A$38)+1)),",",";")),"")</f>
        <v>0</v>
      </c>
      <c r="P63">
        <f t="array" ref="P63">IFERROR(CONCATENATE(INDEX(S7:S35,SMALL(IF(ISNUMBER(P7:P35),IF(P7:P35&gt;0,IF(S7:S35&lt;&gt;"",ROW(P7:P35)-MIN(ROW(P7:P35))+1))),ROW()-ROW(A$38)+1)),"|",TEXT(INDEX(P7:P35,SMALL(IF(ISNUMBER(P7:P35),IF(P7:P35&gt;0,IF(S7:S35&lt;&gt;"",ROW(P7:P35)-MIN(ROW(P7:P35))+1))),ROW()-ROW(A$38)+1)),"##0"),"|",SUBSTITUTE(SUBSTITUTE(INDEX(IF(PURCHASE_DESCRIPTION&lt;&gt;"",PURCHASE_DESCRIPTION&amp;":","")&amp;A7:A35,SMALL(IF(ISNUMBER(P7:P35),IF(P7:P35&gt;0,IF(S7:S35&lt;&gt;"",ROW(P7:P35)-MIN(ROW(P7:P35))+1))),ROW()-ROW(A$38)+1)),"|",";")," ","_")),"")</f>
        <v>0</v>
      </c>
    </row>
    <row r="64" spans="11:16">
      <c r="K64">
        <f t="array" ref="K64">IFERROR(CONCATENATE(TEXT(INDEX(K7:K35,SMALL(IF(ISNUMBER(K7:K35),IF(K7:K35&gt;0,IF(N7:N35&lt;&gt;"",ROW(K7:K35)-MIN(ROW(K7:K35))+1))),ROW()-ROW(A$38)+1)),"##0"),",",INDEX(N7:N35,SMALL(IF(ISNUMBER(K7:K35),IF(K7:K35&gt;0,IF(N7:N35&lt;&gt;"",ROW(K7:K35)-MIN(ROW(K7:K35))+1))),ROW()-ROW(A$38)+1)),",",SUBSTITUTE(INDEX(IF(PURCHASE_DESCRIPTION&lt;&gt;"",PURCHASE_DESCRIPTION&amp;":","")&amp;A7:A35,SMALL(IF(ISNUMBER(K7:K35),IF(K7:K35&gt;0,IF(N7:N35&lt;&gt;"",ROW(K7:K35)-MIN(ROW(K7:K35))+1))),ROW()-ROW(A$38)+1)),",",";")),"")</f>
        <v>0</v>
      </c>
      <c r="P64">
        <f t="array" ref="P64">IFERROR(CONCATENATE(INDEX(S7:S35,SMALL(IF(ISNUMBER(P7:P35),IF(P7:P35&gt;0,IF(S7:S35&lt;&gt;"",ROW(P7:P35)-MIN(ROW(P7:P35))+1))),ROW()-ROW(A$38)+1)),"|",TEXT(INDEX(P7:P35,SMALL(IF(ISNUMBER(P7:P35),IF(P7:P35&gt;0,IF(S7:S35&lt;&gt;"",ROW(P7:P35)-MIN(ROW(P7:P35))+1))),ROW()-ROW(A$38)+1)),"##0"),"|",SUBSTITUTE(SUBSTITUTE(INDEX(IF(PURCHASE_DESCRIPTION&lt;&gt;"",PURCHASE_DESCRIPTION&amp;":","")&amp;A7:A35,SMALL(IF(ISNUMBER(P7:P35),IF(P7:P35&gt;0,IF(S7:S35&lt;&gt;"",ROW(P7:P35)-MIN(ROW(P7:P35))+1))),ROW()-ROW(A$38)+1)),"|",";")," ","_")),"")</f>
        <v>0</v>
      </c>
    </row>
    <row r="65" spans="11:16">
      <c r="K65">
        <f t="array" ref="K65">IFERROR(CONCATENATE(TEXT(INDEX(K7:K35,SMALL(IF(ISNUMBER(K7:K35),IF(K7:K35&gt;0,IF(N7:N35&lt;&gt;"",ROW(K7:K35)-MIN(ROW(K7:K35))+1))),ROW()-ROW(A$38)+1)),"##0"),",",INDEX(N7:N35,SMALL(IF(ISNUMBER(K7:K35),IF(K7:K35&gt;0,IF(N7:N35&lt;&gt;"",ROW(K7:K35)-MIN(ROW(K7:K35))+1))),ROW()-ROW(A$38)+1)),",",SUBSTITUTE(INDEX(IF(PURCHASE_DESCRIPTION&lt;&gt;"",PURCHASE_DESCRIPTION&amp;":","")&amp;A7:A35,SMALL(IF(ISNUMBER(K7:K35),IF(K7:K35&gt;0,IF(N7:N35&lt;&gt;"",ROW(K7:K35)-MIN(ROW(K7:K35))+1))),ROW()-ROW(A$38)+1)),",",";")),"")</f>
        <v>0</v>
      </c>
      <c r="P65">
        <f t="array" ref="P65">IFERROR(CONCATENATE(INDEX(S7:S35,SMALL(IF(ISNUMBER(P7:P35),IF(P7:P35&gt;0,IF(S7:S35&lt;&gt;"",ROW(P7:P35)-MIN(ROW(P7:P35))+1))),ROW()-ROW(A$38)+1)),"|",TEXT(INDEX(P7:P35,SMALL(IF(ISNUMBER(P7:P35),IF(P7:P35&gt;0,IF(S7:S35&lt;&gt;"",ROW(P7:P35)-MIN(ROW(P7:P35))+1))),ROW()-ROW(A$38)+1)),"##0"),"|",SUBSTITUTE(SUBSTITUTE(INDEX(IF(PURCHASE_DESCRIPTION&lt;&gt;"",PURCHASE_DESCRIPTION&amp;":","")&amp;A7:A35,SMALL(IF(ISNUMBER(P7:P35),IF(P7:P35&gt;0,IF(S7:S35&lt;&gt;"",ROW(P7:P35)-MIN(ROW(P7:P35))+1))),ROW()-ROW(A$38)+1)),"|",";")," ","_")),"")</f>
        <v>0</v>
      </c>
    </row>
    <row r="66" spans="11:16">
      <c r="K66">
        <f t="array" ref="K66">IFERROR(CONCATENATE(TEXT(INDEX(K7:K35,SMALL(IF(ISNUMBER(K7:K35),IF(K7:K35&gt;0,IF(N7:N35&lt;&gt;"",ROW(K7:K35)-MIN(ROW(K7:K35))+1))),ROW()-ROW(A$38)+1)),"##0"),",",INDEX(N7:N35,SMALL(IF(ISNUMBER(K7:K35),IF(K7:K35&gt;0,IF(N7:N35&lt;&gt;"",ROW(K7:K35)-MIN(ROW(K7:K35))+1))),ROW()-ROW(A$38)+1)),",",SUBSTITUTE(INDEX(IF(PURCHASE_DESCRIPTION&lt;&gt;"",PURCHASE_DESCRIPTION&amp;":","")&amp;A7:A35,SMALL(IF(ISNUMBER(K7:K35),IF(K7:K35&gt;0,IF(N7:N35&lt;&gt;"",ROW(K7:K35)-MIN(ROW(K7:K35))+1))),ROW()-ROW(A$38)+1)),",",";")),"")</f>
        <v>0</v>
      </c>
      <c r="P66">
        <f t="array" ref="P66">IFERROR(CONCATENATE(INDEX(S7:S35,SMALL(IF(ISNUMBER(P7:P35),IF(P7:P35&gt;0,IF(S7:S35&lt;&gt;"",ROW(P7:P35)-MIN(ROW(P7:P35))+1))),ROW()-ROW(A$38)+1)),"|",TEXT(INDEX(P7:P35,SMALL(IF(ISNUMBER(P7:P35),IF(P7:P35&gt;0,IF(S7:S35&lt;&gt;"",ROW(P7:P35)-MIN(ROW(P7:P35))+1))),ROW()-ROW(A$38)+1)),"##0"),"|",SUBSTITUTE(SUBSTITUTE(INDEX(IF(PURCHASE_DESCRIPTION&lt;&gt;"",PURCHASE_DESCRIPTION&amp;":","")&amp;A7:A35,SMALL(IF(ISNUMBER(P7:P35),IF(P7:P35&gt;0,IF(S7:S35&lt;&gt;"",ROW(P7:P35)-MIN(ROW(P7:P35))+1))),ROW()-ROW(A$38)+1)),"|",";")," ","_")),"")</f>
        <v>0</v>
      </c>
    </row>
  </sheetData>
  <mergeCells count="3">
    <mergeCell ref="A5:I5"/>
    <mergeCell ref="J5:N5"/>
    <mergeCell ref="O5:S5"/>
  </mergeCells>
  <conditionalFormatting sqref="G10">
    <cfRule type="expression" dxfId="0" priority="13">
      <formula>AND(ISBLANK(F10),ISBLANK(INDIRECT(ADDRESS(ROW(),COLUMN(digikey_part_data)+4))),ISBLANK(INDIRECT(ADDRESS(ROW(),COLUMN(mouser_part_data)+4))))</formula>
    </cfRule>
    <cfRule type="expression" dxfId="1" priority="14">
      <formula>IF(SUM(INDIRECT(ADDRESS(ROW(),COLUMN(digikey_part_data)+0)),INDIRECT(ADDRESS(ROW(),COLUMN(mouser_part_data)+0)))=0,1,0)</formula>
    </cfRule>
    <cfRule type="cellIs" dxfId="2" priority="15" operator="greaterThan">
      <formula>SUM(INDIRECT(ADDRESS(ROW(),COLUMN(digikey_part_data)+0)),INDIRECT(ADDRESS(ROW(),COLUMN(mouser_part_data)+0)))</formula>
    </cfRule>
    <cfRule type="cellIs" dxfId="3" priority="16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11">
    <cfRule type="expression" dxfId="0" priority="17">
      <formula>AND(ISBLANK(F11),ISBLANK(INDIRECT(ADDRESS(ROW(),COLUMN(digikey_part_data)+4))),ISBLANK(INDIRECT(ADDRESS(ROW(),COLUMN(mouser_part_data)+4))))</formula>
    </cfRule>
    <cfRule type="expression" dxfId="1" priority="18">
      <formula>IF(SUM(INDIRECT(ADDRESS(ROW(),COLUMN(digikey_part_data)+0)),INDIRECT(ADDRESS(ROW(),COLUMN(mouser_part_data)+0)))=0,1,0)</formula>
    </cfRule>
    <cfRule type="cellIs" dxfId="2" priority="19" operator="greaterThan">
      <formula>SUM(INDIRECT(ADDRESS(ROW(),COLUMN(digikey_part_data)+0)),INDIRECT(ADDRESS(ROW(),COLUMN(mouser_part_data)+0)))</formula>
    </cfRule>
    <cfRule type="cellIs" dxfId="3" priority="20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12">
    <cfRule type="expression" dxfId="0" priority="21">
      <formula>AND(ISBLANK(F12),ISBLANK(INDIRECT(ADDRESS(ROW(),COLUMN(digikey_part_data)+4))),ISBLANK(INDIRECT(ADDRESS(ROW(),COLUMN(mouser_part_data)+4))))</formula>
    </cfRule>
    <cfRule type="expression" dxfId="1" priority="22">
      <formula>IF(SUM(INDIRECT(ADDRESS(ROW(),COLUMN(digikey_part_data)+0)),INDIRECT(ADDRESS(ROW(),COLUMN(mouser_part_data)+0)))=0,1,0)</formula>
    </cfRule>
    <cfRule type="cellIs" dxfId="2" priority="23" operator="greaterThan">
      <formula>SUM(INDIRECT(ADDRESS(ROW(),COLUMN(digikey_part_data)+0)),INDIRECT(ADDRESS(ROW(),COLUMN(mouser_part_data)+0)))</formula>
    </cfRule>
    <cfRule type="cellIs" dxfId="3" priority="24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13">
    <cfRule type="expression" dxfId="0" priority="25">
      <formula>AND(ISBLANK(F13),ISBLANK(INDIRECT(ADDRESS(ROW(),COLUMN(digikey_part_data)+4))),ISBLANK(INDIRECT(ADDRESS(ROW(),COLUMN(mouser_part_data)+4))))</formula>
    </cfRule>
    <cfRule type="expression" dxfId="1" priority="26">
      <formula>IF(SUM(INDIRECT(ADDRESS(ROW(),COLUMN(digikey_part_data)+0)),INDIRECT(ADDRESS(ROW(),COLUMN(mouser_part_data)+0)))=0,1,0)</formula>
    </cfRule>
    <cfRule type="cellIs" dxfId="2" priority="27" operator="greaterThan">
      <formula>SUM(INDIRECT(ADDRESS(ROW(),COLUMN(digikey_part_data)+0)),INDIRECT(ADDRESS(ROW(),COLUMN(mouser_part_data)+0)))</formula>
    </cfRule>
    <cfRule type="cellIs" dxfId="3" priority="28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14">
    <cfRule type="expression" dxfId="0" priority="29">
      <formula>AND(ISBLANK(F14),ISBLANK(INDIRECT(ADDRESS(ROW(),COLUMN(digikey_part_data)+4))),ISBLANK(INDIRECT(ADDRESS(ROW(),COLUMN(mouser_part_data)+4))))</formula>
    </cfRule>
    <cfRule type="expression" dxfId="1" priority="30">
      <formula>IF(SUM(INDIRECT(ADDRESS(ROW(),COLUMN(digikey_part_data)+0)),INDIRECT(ADDRESS(ROW(),COLUMN(mouser_part_data)+0)))=0,1,0)</formula>
    </cfRule>
    <cfRule type="cellIs" dxfId="2" priority="31" operator="greaterThan">
      <formula>SUM(INDIRECT(ADDRESS(ROW(),COLUMN(digikey_part_data)+0)),INDIRECT(ADDRESS(ROW(),COLUMN(mouser_part_data)+0)))</formula>
    </cfRule>
    <cfRule type="cellIs" dxfId="3" priority="32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15">
    <cfRule type="expression" dxfId="0" priority="33">
      <formula>AND(ISBLANK(F15),ISBLANK(INDIRECT(ADDRESS(ROW(),COLUMN(digikey_part_data)+4))),ISBLANK(INDIRECT(ADDRESS(ROW(),COLUMN(mouser_part_data)+4))))</formula>
    </cfRule>
    <cfRule type="expression" dxfId="1" priority="34">
      <formula>IF(SUM(INDIRECT(ADDRESS(ROW(),COLUMN(digikey_part_data)+0)),INDIRECT(ADDRESS(ROW(),COLUMN(mouser_part_data)+0)))=0,1,0)</formula>
    </cfRule>
    <cfRule type="cellIs" dxfId="2" priority="35" operator="greaterThan">
      <formula>SUM(INDIRECT(ADDRESS(ROW(),COLUMN(digikey_part_data)+0)),INDIRECT(ADDRESS(ROW(),COLUMN(mouser_part_data)+0)))</formula>
    </cfRule>
    <cfRule type="cellIs" dxfId="3" priority="36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16">
    <cfRule type="expression" dxfId="0" priority="37">
      <formula>AND(ISBLANK(F16),ISBLANK(INDIRECT(ADDRESS(ROW(),COLUMN(digikey_part_data)+4))),ISBLANK(INDIRECT(ADDRESS(ROW(),COLUMN(mouser_part_data)+4))))</formula>
    </cfRule>
    <cfRule type="expression" dxfId="1" priority="38">
      <formula>IF(SUM(INDIRECT(ADDRESS(ROW(),COLUMN(digikey_part_data)+0)),INDIRECT(ADDRESS(ROW(),COLUMN(mouser_part_data)+0)))=0,1,0)</formula>
    </cfRule>
    <cfRule type="cellIs" dxfId="2" priority="39" operator="greaterThan">
      <formula>SUM(INDIRECT(ADDRESS(ROW(),COLUMN(digikey_part_data)+0)),INDIRECT(ADDRESS(ROW(),COLUMN(mouser_part_data)+0)))</formula>
    </cfRule>
    <cfRule type="cellIs" dxfId="3" priority="40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17">
    <cfRule type="expression" dxfId="0" priority="41">
      <formula>AND(ISBLANK(F17),ISBLANK(INDIRECT(ADDRESS(ROW(),COLUMN(digikey_part_data)+4))),ISBLANK(INDIRECT(ADDRESS(ROW(),COLUMN(mouser_part_data)+4))))</formula>
    </cfRule>
    <cfRule type="expression" dxfId="1" priority="42">
      <formula>IF(SUM(INDIRECT(ADDRESS(ROW(),COLUMN(digikey_part_data)+0)),INDIRECT(ADDRESS(ROW(),COLUMN(mouser_part_data)+0)))=0,1,0)</formula>
    </cfRule>
    <cfRule type="cellIs" dxfId="2" priority="43" operator="greaterThan">
      <formula>SUM(INDIRECT(ADDRESS(ROW(),COLUMN(digikey_part_data)+0)),INDIRECT(ADDRESS(ROW(),COLUMN(mouser_part_data)+0)))</formula>
    </cfRule>
    <cfRule type="cellIs" dxfId="3" priority="44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18">
    <cfRule type="expression" dxfId="0" priority="45">
      <formula>AND(ISBLANK(F18),ISBLANK(INDIRECT(ADDRESS(ROW(),COLUMN(digikey_part_data)+4))),ISBLANK(INDIRECT(ADDRESS(ROW(),COLUMN(mouser_part_data)+4))))</formula>
    </cfRule>
    <cfRule type="expression" dxfId="1" priority="46">
      <formula>IF(SUM(INDIRECT(ADDRESS(ROW(),COLUMN(digikey_part_data)+0)),INDIRECT(ADDRESS(ROW(),COLUMN(mouser_part_data)+0)))=0,1,0)</formula>
    </cfRule>
    <cfRule type="cellIs" dxfId="2" priority="47" operator="greaterThan">
      <formula>SUM(INDIRECT(ADDRESS(ROW(),COLUMN(digikey_part_data)+0)),INDIRECT(ADDRESS(ROW(),COLUMN(mouser_part_data)+0)))</formula>
    </cfRule>
    <cfRule type="cellIs" dxfId="3" priority="48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19">
    <cfRule type="expression" dxfId="0" priority="49">
      <formula>AND(ISBLANK(F19),ISBLANK(INDIRECT(ADDRESS(ROW(),COLUMN(digikey_part_data)+4))),ISBLANK(INDIRECT(ADDRESS(ROW(),COLUMN(mouser_part_data)+4))))</formula>
    </cfRule>
    <cfRule type="expression" dxfId="1" priority="50">
      <formula>IF(SUM(INDIRECT(ADDRESS(ROW(),COLUMN(digikey_part_data)+0)),INDIRECT(ADDRESS(ROW(),COLUMN(mouser_part_data)+0)))=0,1,0)</formula>
    </cfRule>
    <cfRule type="cellIs" dxfId="2" priority="51" operator="greaterThan">
      <formula>SUM(INDIRECT(ADDRESS(ROW(),COLUMN(digikey_part_data)+0)),INDIRECT(ADDRESS(ROW(),COLUMN(mouser_part_data)+0)))</formula>
    </cfRule>
    <cfRule type="cellIs" dxfId="3" priority="52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20">
    <cfRule type="expression" dxfId="0" priority="53">
      <formula>AND(ISBLANK(F20),ISBLANK(INDIRECT(ADDRESS(ROW(),COLUMN(digikey_part_data)+4))),ISBLANK(INDIRECT(ADDRESS(ROW(),COLUMN(mouser_part_data)+4))))</formula>
    </cfRule>
    <cfRule type="expression" dxfId="1" priority="54">
      <formula>IF(SUM(INDIRECT(ADDRESS(ROW(),COLUMN(digikey_part_data)+0)),INDIRECT(ADDRESS(ROW(),COLUMN(mouser_part_data)+0)))=0,1,0)</formula>
    </cfRule>
    <cfRule type="cellIs" dxfId="2" priority="55" operator="greaterThan">
      <formula>SUM(INDIRECT(ADDRESS(ROW(),COLUMN(digikey_part_data)+0)),INDIRECT(ADDRESS(ROW(),COLUMN(mouser_part_data)+0)))</formula>
    </cfRule>
    <cfRule type="cellIs" dxfId="3" priority="56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21">
    <cfRule type="expression" dxfId="0" priority="57">
      <formula>AND(ISBLANK(F21),ISBLANK(INDIRECT(ADDRESS(ROW(),COLUMN(digikey_part_data)+4))),ISBLANK(INDIRECT(ADDRESS(ROW(),COLUMN(mouser_part_data)+4))))</formula>
    </cfRule>
    <cfRule type="expression" dxfId="1" priority="58">
      <formula>IF(SUM(INDIRECT(ADDRESS(ROW(),COLUMN(digikey_part_data)+0)),INDIRECT(ADDRESS(ROW(),COLUMN(mouser_part_data)+0)))=0,1,0)</formula>
    </cfRule>
    <cfRule type="cellIs" dxfId="2" priority="59" operator="greaterThan">
      <formula>SUM(INDIRECT(ADDRESS(ROW(),COLUMN(digikey_part_data)+0)),INDIRECT(ADDRESS(ROW(),COLUMN(mouser_part_data)+0)))</formula>
    </cfRule>
    <cfRule type="cellIs" dxfId="3" priority="60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22">
    <cfRule type="expression" dxfId="0" priority="61">
      <formula>AND(ISBLANK(F22),ISBLANK(INDIRECT(ADDRESS(ROW(),COLUMN(digikey_part_data)+4))),ISBLANK(INDIRECT(ADDRESS(ROW(),COLUMN(mouser_part_data)+4))))</formula>
    </cfRule>
    <cfRule type="expression" dxfId="1" priority="62">
      <formula>IF(SUM(INDIRECT(ADDRESS(ROW(),COLUMN(digikey_part_data)+0)),INDIRECT(ADDRESS(ROW(),COLUMN(mouser_part_data)+0)))=0,1,0)</formula>
    </cfRule>
    <cfRule type="cellIs" dxfId="2" priority="63" operator="greaterThan">
      <formula>SUM(INDIRECT(ADDRESS(ROW(),COLUMN(digikey_part_data)+0)),INDIRECT(ADDRESS(ROW(),COLUMN(mouser_part_data)+0)))</formula>
    </cfRule>
    <cfRule type="cellIs" dxfId="3" priority="64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23">
    <cfRule type="expression" dxfId="0" priority="65">
      <formula>AND(ISBLANK(F23),ISBLANK(INDIRECT(ADDRESS(ROW(),COLUMN(digikey_part_data)+4))),ISBLANK(INDIRECT(ADDRESS(ROW(),COLUMN(mouser_part_data)+4))))</formula>
    </cfRule>
    <cfRule type="expression" dxfId="1" priority="66">
      <formula>IF(SUM(INDIRECT(ADDRESS(ROW(),COLUMN(digikey_part_data)+0)),INDIRECT(ADDRESS(ROW(),COLUMN(mouser_part_data)+0)))=0,1,0)</formula>
    </cfRule>
    <cfRule type="cellIs" dxfId="2" priority="67" operator="greaterThan">
      <formula>SUM(INDIRECT(ADDRESS(ROW(),COLUMN(digikey_part_data)+0)),INDIRECT(ADDRESS(ROW(),COLUMN(mouser_part_data)+0)))</formula>
    </cfRule>
    <cfRule type="cellIs" dxfId="3" priority="68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24">
    <cfRule type="expression" dxfId="0" priority="69">
      <formula>AND(ISBLANK(F24),ISBLANK(INDIRECT(ADDRESS(ROW(),COLUMN(digikey_part_data)+4))),ISBLANK(INDIRECT(ADDRESS(ROW(),COLUMN(mouser_part_data)+4))))</formula>
    </cfRule>
    <cfRule type="expression" dxfId="1" priority="70">
      <formula>IF(SUM(INDIRECT(ADDRESS(ROW(),COLUMN(digikey_part_data)+0)),INDIRECT(ADDRESS(ROW(),COLUMN(mouser_part_data)+0)))=0,1,0)</formula>
    </cfRule>
    <cfRule type="cellIs" dxfId="2" priority="71" operator="greaterThan">
      <formula>SUM(INDIRECT(ADDRESS(ROW(),COLUMN(digikey_part_data)+0)),INDIRECT(ADDRESS(ROW(),COLUMN(mouser_part_data)+0)))</formula>
    </cfRule>
    <cfRule type="cellIs" dxfId="3" priority="72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25">
    <cfRule type="expression" dxfId="0" priority="73">
      <formula>AND(ISBLANK(F25),ISBLANK(INDIRECT(ADDRESS(ROW(),COLUMN(digikey_part_data)+4))),ISBLANK(INDIRECT(ADDRESS(ROW(),COLUMN(mouser_part_data)+4))))</formula>
    </cfRule>
    <cfRule type="expression" dxfId="1" priority="74">
      <formula>IF(SUM(INDIRECT(ADDRESS(ROW(),COLUMN(digikey_part_data)+0)),INDIRECT(ADDRESS(ROW(),COLUMN(mouser_part_data)+0)))=0,1,0)</formula>
    </cfRule>
    <cfRule type="cellIs" dxfId="2" priority="75" operator="greaterThan">
      <formula>SUM(INDIRECT(ADDRESS(ROW(),COLUMN(digikey_part_data)+0)),INDIRECT(ADDRESS(ROW(),COLUMN(mouser_part_data)+0)))</formula>
    </cfRule>
    <cfRule type="cellIs" dxfId="3" priority="76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26">
    <cfRule type="expression" dxfId="0" priority="77">
      <formula>AND(ISBLANK(F26),ISBLANK(INDIRECT(ADDRESS(ROW(),COLUMN(digikey_part_data)+4))),ISBLANK(INDIRECT(ADDRESS(ROW(),COLUMN(mouser_part_data)+4))))</formula>
    </cfRule>
    <cfRule type="expression" dxfId="1" priority="78">
      <formula>IF(SUM(INDIRECT(ADDRESS(ROW(),COLUMN(digikey_part_data)+0)),INDIRECT(ADDRESS(ROW(),COLUMN(mouser_part_data)+0)))=0,1,0)</formula>
    </cfRule>
    <cfRule type="cellIs" dxfId="2" priority="79" operator="greaterThan">
      <formula>SUM(INDIRECT(ADDRESS(ROW(),COLUMN(digikey_part_data)+0)),INDIRECT(ADDRESS(ROW(),COLUMN(mouser_part_data)+0)))</formula>
    </cfRule>
    <cfRule type="cellIs" dxfId="3" priority="80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27">
    <cfRule type="expression" dxfId="0" priority="81">
      <formula>AND(ISBLANK(F27),ISBLANK(INDIRECT(ADDRESS(ROW(),COLUMN(digikey_part_data)+4))),ISBLANK(INDIRECT(ADDRESS(ROW(),COLUMN(mouser_part_data)+4))))</formula>
    </cfRule>
    <cfRule type="expression" dxfId="1" priority="82">
      <formula>IF(SUM(INDIRECT(ADDRESS(ROW(),COLUMN(digikey_part_data)+0)),INDIRECT(ADDRESS(ROW(),COLUMN(mouser_part_data)+0)))=0,1,0)</formula>
    </cfRule>
    <cfRule type="cellIs" dxfId="2" priority="83" operator="greaterThan">
      <formula>SUM(INDIRECT(ADDRESS(ROW(),COLUMN(digikey_part_data)+0)),INDIRECT(ADDRESS(ROW(),COLUMN(mouser_part_data)+0)))</formula>
    </cfRule>
    <cfRule type="cellIs" dxfId="3" priority="84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28">
    <cfRule type="expression" dxfId="0" priority="85">
      <formula>AND(ISBLANK(F28),ISBLANK(INDIRECT(ADDRESS(ROW(),COLUMN(digikey_part_data)+4))),ISBLANK(INDIRECT(ADDRESS(ROW(),COLUMN(mouser_part_data)+4))))</formula>
    </cfRule>
    <cfRule type="expression" dxfId="1" priority="86">
      <formula>IF(SUM(INDIRECT(ADDRESS(ROW(),COLUMN(digikey_part_data)+0)),INDIRECT(ADDRESS(ROW(),COLUMN(mouser_part_data)+0)))=0,1,0)</formula>
    </cfRule>
    <cfRule type="cellIs" dxfId="2" priority="87" operator="greaterThan">
      <formula>SUM(INDIRECT(ADDRESS(ROW(),COLUMN(digikey_part_data)+0)),INDIRECT(ADDRESS(ROW(),COLUMN(mouser_part_data)+0)))</formula>
    </cfRule>
    <cfRule type="cellIs" dxfId="3" priority="88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29">
    <cfRule type="expression" dxfId="0" priority="89">
      <formula>AND(ISBLANK(F29),ISBLANK(INDIRECT(ADDRESS(ROW(),COLUMN(digikey_part_data)+4))),ISBLANK(INDIRECT(ADDRESS(ROW(),COLUMN(mouser_part_data)+4))))</formula>
    </cfRule>
    <cfRule type="expression" dxfId="1" priority="90">
      <formula>IF(SUM(INDIRECT(ADDRESS(ROW(),COLUMN(digikey_part_data)+0)),INDIRECT(ADDRESS(ROW(),COLUMN(mouser_part_data)+0)))=0,1,0)</formula>
    </cfRule>
    <cfRule type="cellIs" dxfId="2" priority="91" operator="greaterThan">
      <formula>SUM(INDIRECT(ADDRESS(ROW(),COLUMN(digikey_part_data)+0)),INDIRECT(ADDRESS(ROW(),COLUMN(mouser_part_data)+0)))</formula>
    </cfRule>
    <cfRule type="cellIs" dxfId="3" priority="92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30">
    <cfRule type="expression" dxfId="0" priority="93">
      <formula>AND(ISBLANK(F30),ISBLANK(INDIRECT(ADDRESS(ROW(),COLUMN(digikey_part_data)+4))),ISBLANK(INDIRECT(ADDRESS(ROW(),COLUMN(mouser_part_data)+4))))</formula>
    </cfRule>
    <cfRule type="expression" dxfId="1" priority="94">
      <formula>IF(SUM(INDIRECT(ADDRESS(ROW(),COLUMN(digikey_part_data)+0)),INDIRECT(ADDRESS(ROW(),COLUMN(mouser_part_data)+0)))=0,1,0)</formula>
    </cfRule>
    <cfRule type="cellIs" dxfId="2" priority="95" operator="greaterThan">
      <formula>SUM(INDIRECT(ADDRESS(ROW(),COLUMN(digikey_part_data)+0)),INDIRECT(ADDRESS(ROW(),COLUMN(mouser_part_data)+0)))</formula>
    </cfRule>
    <cfRule type="cellIs" dxfId="3" priority="96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31">
    <cfRule type="expression" dxfId="0" priority="97">
      <formula>AND(ISBLANK(F31),ISBLANK(INDIRECT(ADDRESS(ROW(),COLUMN(digikey_part_data)+4))),ISBLANK(INDIRECT(ADDRESS(ROW(),COLUMN(mouser_part_data)+4))))</formula>
    </cfRule>
    <cfRule type="expression" dxfId="1" priority="98">
      <formula>IF(SUM(INDIRECT(ADDRESS(ROW(),COLUMN(digikey_part_data)+0)),INDIRECT(ADDRESS(ROW(),COLUMN(mouser_part_data)+0)))=0,1,0)</formula>
    </cfRule>
    <cfRule type="cellIs" dxfId="2" priority="99" operator="greaterThan">
      <formula>SUM(INDIRECT(ADDRESS(ROW(),COLUMN(digikey_part_data)+0)),INDIRECT(ADDRESS(ROW(),COLUMN(mouser_part_data)+0)))</formula>
    </cfRule>
    <cfRule type="cellIs" dxfId="3" priority="100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32">
    <cfRule type="expression" dxfId="0" priority="101">
      <formula>AND(ISBLANK(F32),ISBLANK(INDIRECT(ADDRESS(ROW(),COLUMN(digikey_part_data)+4))),ISBLANK(INDIRECT(ADDRESS(ROW(),COLUMN(mouser_part_data)+4))))</formula>
    </cfRule>
    <cfRule type="expression" dxfId="1" priority="102">
      <formula>IF(SUM(INDIRECT(ADDRESS(ROW(),COLUMN(digikey_part_data)+0)),INDIRECT(ADDRESS(ROW(),COLUMN(mouser_part_data)+0)))=0,1,0)</formula>
    </cfRule>
    <cfRule type="cellIs" dxfId="2" priority="103" operator="greaterThan">
      <formula>SUM(INDIRECT(ADDRESS(ROW(),COLUMN(digikey_part_data)+0)),INDIRECT(ADDRESS(ROW(),COLUMN(mouser_part_data)+0)))</formula>
    </cfRule>
    <cfRule type="cellIs" dxfId="3" priority="104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33">
    <cfRule type="expression" dxfId="0" priority="105">
      <formula>AND(ISBLANK(F33),ISBLANK(INDIRECT(ADDRESS(ROW(),COLUMN(digikey_part_data)+4))),ISBLANK(INDIRECT(ADDRESS(ROW(),COLUMN(mouser_part_data)+4))))</formula>
    </cfRule>
    <cfRule type="expression" dxfId="1" priority="106">
      <formula>IF(SUM(INDIRECT(ADDRESS(ROW(),COLUMN(digikey_part_data)+0)),INDIRECT(ADDRESS(ROW(),COLUMN(mouser_part_data)+0)))=0,1,0)</formula>
    </cfRule>
    <cfRule type="cellIs" dxfId="2" priority="107" operator="greaterThan">
      <formula>SUM(INDIRECT(ADDRESS(ROW(),COLUMN(digikey_part_data)+0)),INDIRECT(ADDRESS(ROW(),COLUMN(mouser_part_data)+0)))</formula>
    </cfRule>
    <cfRule type="cellIs" dxfId="3" priority="108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34">
    <cfRule type="expression" dxfId="0" priority="109">
      <formula>AND(ISBLANK(F34),ISBLANK(INDIRECT(ADDRESS(ROW(),COLUMN(digikey_part_data)+4))),ISBLANK(INDIRECT(ADDRESS(ROW(),COLUMN(mouser_part_data)+4))))</formula>
    </cfRule>
    <cfRule type="expression" dxfId="1" priority="110">
      <formula>IF(SUM(INDIRECT(ADDRESS(ROW(),COLUMN(digikey_part_data)+0)),INDIRECT(ADDRESS(ROW(),COLUMN(mouser_part_data)+0)))=0,1,0)</formula>
    </cfRule>
    <cfRule type="cellIs" dxfId="2" priority="111" operator="greaterThan">
      <formula>SUM(INDIRECT(ADDRESS(ROW(),COLUMN(digikey_part_data)+0)),INDIRECT(ADDRESS(ROW(),COLUMN(mouser_part_data)+0)))</formula>
    </cfRule>
    <cfRule type="cellIs" dxfId="3" priority="112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35">
    <cfRule type="expression" dxfId="0" priority="113">
      <formula>AND(ISBLANK(F35),ISBLANK(INDIRECT(ADDRESS(ROW(),COLUMN(digikey_part_data)+4))),ISBLANK(INDIRECT(ADDRESS(ROW(),COLUMN(mouser_part_data)+4))))</formula>
    </cfRule>
    <cfRule type="expression" dxfId="1" priority="114">
      <formula>IF(SUM(INDIRECT(ADDRESS(ROW(),COLUMN(digikey_part_data)+0)),INDIRECT(ADDRESS(ROW(),COLUMN(mouser_part_data)+0)))=0,1,0)</formula>
    </cfRule>
    <cfRule type="cellIs" dxfId="2" priority="115" operator="greaterThan">
      <formula>SUM(INDIRECT(ADDRESS(ROW(),COLUMN(digikey_part_data)+0)),INDIRECT(ADDRESS(ROW(),COLUMN(mouser_part_data)+0)))</formula>
    </cfRule>
    <cfRule type="cellIs" dxfId="3" priority="116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7">
    <cfRule type="expression" dxfId="0" priority="1">
      <formula>AND(ISBLANK(F7),ISBLANK(INDIRECT(ADDRESS(ROW(),COLUMN(digikey_part_data)+4))),ISBLANK(INDIRECT(ADDRESS(ROW(),COLUMN(mouser_part_data)+4))))</formula>
    </cfRule>
    <cfRule type="expression" dxfId="1" priority="2">
      <formula>IF(SUM(INDIRECT(ADDRESS(ROW(),COLUMN(digikey_part_data)+0)),INDIRECT(ADDRESS(ROW(),COLUMN(mouser_part_data)+0)))=0,1,0)</formula>
    </cfRule>
    <cfRule type="cellIs" dxfId="2" priority="3" operator="greaterThan">
      <formula>SUM(INDIRECT(ADDRESS(ROW(),COLUMN(digikey_part_data)+0)),INDIRECT(ADDRESS(ROW(),COLUMN(mouser_part_data)+0)))</formula>
    </cfRule>
    <cfRule type="cellIs" dxfId="3" priority="4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8">
    <cfRule type="expression" dxfId="0" priority="5">
      <formula>AND(ISBLANK(F8),ISBLANK(INDIRECT(ADDRESS(ROW(),COLUMN(digikey_part_data)+4))),ISBLANK(INDIRECT(ADDRESS(ROW(),COLUMN(mouser_part_data)+4))))</formula>
    </cfRule>
    <cfRule type="expression" dxfId="1" priority="6">
      <formula>IF(SUM(INDIRECT(ADDRESS(ROW(),COLUMN(digikey_part_data)+0)),INDIRECT(ADDRESS(ROW(),COLUMN(mouser_part_data)+0)))=0,1,0)</formula>
    </cfRule>
    <cfRule type="cellIs" dxfId="2" priority="7" operator="greaterThan">
      <formula>SUM(INDIRECT(ADDRESS(ROW(),COLUMN(digikey_part_data)+0)),INDIRECT(ADDRESS(ROW(),COLUMN(mouser_part_data)+0)))</formula>
    </cfRule>
    <cfRule type="cellIs" dxfId="3" priority="8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G9">
    <cfRule type="expression" dxfId="0" priority="9">
      <formula>AND(ISBLANK(F9),ISBLANK(INDIRECT(ADDRESS(ROW(),COLUMN(digikey_part_data)+4))),ISBLANK(INDIRECT(ADDRESS(ROW(),COLUMN(mouser_part_data)+4))))</formula>
    </cfRule>
    <cfRule type="expression" dxfId="1" priority="10">
      <formula>IF(SUM(INDIRECT(ADDRESS(ROW(),COLUMN(digikey_part_data)+0)),INDIRECT(ADDRESS(ROW(),COLUMN(mouser_part_data)+0)))=0,1,0)</formula>
    </cfRule>
    <cfRule type="cellIs" dxfId="2" priority="11" operator="greaterThan">
      <formula>SUM(INDIRECT(ADDRESS(ROW(),COLUMN(digikey_part_data)+0)),INDIRECT(ADDRESS(ROW(),COLUMN(mouser_part_data)+0)))</formula>
    </cfRule>
    <cfRule type="cellIs" dxfId="3" priority="12" operator="greaterThan">
      <formula>SUM(IF(ISNUMBER(INDIRECT(ADDRESS(ROW(),COLUMN(digikey_part_data)+2))),INDIRECT(ADDRESS(ROW(),COLUMN(digikey_part_data)+1)),0),IF(ISNUMBER(INDIRECT(ADDRESS(ROW(),COLUMN(mouser_part_data)+2))),INDIRECT(ADDRESS(ROW(),COLUMN(mouser_part_data)+1)),0))</formula>
    </cfRule>
  </conditionalFormatting>
  <conditionalFormatting sqref="J10">
    <cfRule type="cellIs" dxfId="1" priority="127" operator="equal">
      <formula>0</formula>
    </cfRule>
    <cfRule type="cellIs" dxfId="2" priority="128" operator="lessThan">
      <formula>G10</formula>
    </cfRule>
  </conditionalFormatting>
  <conditionalFormatting sqref="J11">
    <cfRule type="cellIs" dxfId="1" priority="132" operator="equal">
      <formula>0</formula>
    </cfRule>
    <cfRule type="cellIs" dxfId="2" priority="133" operator="lessThan">
      <formula>G11</formula>
    </cfRule>
  </conditionalFormatting>
  <conditionalFormatting sqref="J12">
    <cfRule type="cellIs" dxfId="1" priority="137" operator="equal">
      <formula>0</formula>
    </cfRule>
    <cfRule type="cellIs" dxfId="2" priority="138" operator="lessThan">
      <formula>G12</formula>
    </cfRule>
  </conditionalFormatting>
  <conditionalFormatting sqref="J13">
    <cfRule type="cellIs" dxfId="1" priority="142" operator="equal">
      <formula>0</formula>
    </cfRule>
    <cfRule type="cellIs" dxfId="2" priority="143" operator="lessThan">
      <formula>G13</formula>
    </cfRule>
  </conditionalFormatting>
  <conditionalFormatting sqref="J14">
    <cfRule type="cellIs" dxfId="1" priority="147" operator="equal">
      <formula>0</formula>
    </cfRule>
    <cfRule type="cellIs" dxfId="2" priority="148" operator="lessThan">
      <formula>G14</formula>
    </cfRule>
  </conditionalFormatting>
  <conditionalFormatting sqref="J15">
    <cfRule type="cellIs" dxfId="1" priority="152" operator="equal">
      <formula>0</formula>
    </cfRule>
    <cfRule type="cellIs" dxfId="2" priority="153" operator="lessThan">
      <formula>G15</formula>
    </cfRule>
  </conditionalFormatting>
  <conditionalFormatting sqref="J16">
    <cfRule type="cellIs" dxfId="1" priority="157" operator="equal">
      <formula>0</formula>
    </cfRule>
    <cfRule type="cellIs" dxfId="2" priority="158" operator="lessThan">
      <formula>G16</formula>
    </cfRule>
  </conditionalFormatting>
  <conditionalFormatting sqref="J18">
    <cfRule type="cellIs" dxfId="1" priority="162" operator="equal">
      <formula>0</formula>
    </cfRule>
    <cfRule type="cellIs" dxfId="2" priority="163" operator="lessThan">
      <formula>G18</formula>
    </cfRule>
  </conditionalFormatting>
  <conditionalFormatting sqref="J19">
    <cfRule type="cellIs" dxfId="1" priority="167" operator="equal">
      <formula>0</formula>
    </cfRule>
    <cfRule type="cellIs" dxfId="2" priority="168" operator="lessThan">
      <formula>G19</formula>
    </cfRule>
  </conditionalFormatting>
  <conditionalFormatting sqref="J22">
    <cfRule type="cellIs" dxfId="1" priority="172" operator="equal">
      <formula>0</formula>
    </cfRule>
    <cfRule type="cellIs" dxfId="2" priority="173" operator="lessThan">
      <formula>G22</formula>
    </cfRule>
  </conditionalFormatting>
  <conditionalFormatting sqref="J23">
    <cfRule type="cellIs" dxfId="1" priority="177" operator="equal">
      <formula>0</formula>
    </cfRule>
    <cfRule type="cellIs" dxfId="2" priority="178" operator="lessThan">
      <formula>G23</formula>
    </cfRule>
  </conditionalFormatting>
  <conditionalFormatting sqref="J24">
    <cfRule type="cellIs" dxfId="1" priority="182" operator="equal">
      <formula>0</formula>
    </cfRule>
    <cfRule type="cellIs" dxfId="2" priority="183" operator="lessThan">
      <formula>G24</formula>
    </cfRule>
  </conditionalFormatting>
  <conditionalFormatting sqref="J25">
    <cfRule type="cellIs" dxfId="1" priority="188" operator="equal">
      <formula>0</formula>
    </cfRule>
    <cfRule type="cellIs" dxfId="2" priority="189" operator="lessThan">
      <formula>G25</formula>
    </cfRule>
  </conditionalFormatting>
  <conditionalFormatting sqref="J27">
    <cfRule type="cellIs" dxfId="1" priority="193" operator="equal">
      <formula>0</formula>
    </cfRule>
    <cfRule type="cellIs" dxfId="2" priority="194" operator="lessThan">
      <formula>G27</formula>
    </cfRule>
  </conditionalFormatting>
  <conditionalFormatting sqref="J30">
    <cfRule type="cellIs" dxfId="1" priority="199" operator="equal">
      <formula>0</formula>
    </cfRule>
    <cfRule type="cellIs" dxfId="2" priority="200" operator="lessThan">
      <formula>G30</formula>
    </cfRule>
  </conditionalFormatting>
  <conditionalFormatting sqref="J32">
    <cfRule type="cellIs" dxfId="1" priority="204" operator="equal">
      <formula>0</formula>
    </cfRule>
    <cfRule type="cellIs" dxfId="2" priority="205" operator="lessThan">
      <formula>G32</formula>
    </cfRule>
  </conditionalFormatting>
  <conditionalFormatting sqref="J33">
    <cfRule type="cellIs" dxfId="1" priority="209" operator="equal">
      <formula>0</formula>
    </cfRule>
    <cfRule type="cellIs" dxfId="2" priority="210" operator="lessThan">
      <formula>G33</formula>
    </cfRule>
  </conditionalFormatting>
  <conditionalFormatting sqref="J34">
    <cfRule type="cellIs" dxfId="1" priority="214" operator="equal">
      <formula>0</formula>
    </cfRule>
    <cfRule type="cellIs" dxfId="2" priority="215" operator="lessThan">
      <formula>G34</formula>
    </cfRule>
  </conditionalFormatting>
  <conditionalFormatting sqref="J8">
    <cfRule type="cellIs" dxfId="1" priority="117" operator="equal">
      <formula>0</formula>
    </cfRule>
    <cfRule type="cellIs" dxfId="2" priority="118" operator="lessThan">
      <formula>G8</formula>
    </cfRule>
  </conditionalFormatting>
  <conditionalFormatting sqref="J9">
    <cfRule type="cellIs" dxfId="1" priority="122" operator="equal">
      <formula>0</formula>
    </cfRule>
    <cfRule type="cellIs" dxfId="2" priority="123" operator="lessThan">
      <formula>G9</formula>
    </cfRule>
  </conditionalFormatting>
  <conditionalFormatting sqref="K10">
    <cfRule type="cellIs" dxfId="1" priority="129" operator="greaterThan">
      <formula>J10</formula>
    </cfRule>
  </conditionalFormatting>
  <conditionalFormatting sqref="K11">
    <cfRule type="cellIs" dxfId="1" priority="134" operator="greaterThan">
      <formula>J11</formula>
    </cfRule>
  </conditionalFormatting>
  <conditionalFormatting sqref="K12">
    <cfRule type="cellIs" dxfId="1" priority="139" operator="greaterThan">
      <formula>J12</formula>
    </cfRule>
  </conditionalFormatting>
  <conditionalFormatting sqref="K13">
    <cfRule type="cellIs" dxfId="1" priority="144" operator="greaterThan">
      <formula>J13</formula>
    </cfRule>
  </conditionalFormatting>
  <conditionalFormatting sqref="K14">
    <cfRule type="cellIs" dxfId="1" priority="149" operator="greaterThan">
      <formula>J14</formula>
    </cfRule>
  </conditionalFormatting>
  <conditionalFormatting sqref="K15">
    <cfRule type="cellIs" dxfId="1" priority="154" operator="greaterThan">
      <formula>J15</formula>
    </cfRule>
  </conditionalFormatting>
  <conditionalFormatting sqref="K16">
    <cfRule type="cellIs" dxfId="1" priority="159" operator="greaterThan">
      <formula>J16</formula>
    </cfRule>
  </conditionalFormatting>
  <conditionalFormatting sqref="K18">
    <cfRule type="cellIs" dxfId="1" priority="164" operator="greaterThan">
      <formula>J18</formula>
    </cfRule>
  </conditionalFormatting>
  <conditionalFormatting sqref="K19">
    <cfRule type="cellIs" dxfId="1" priority="169" operator="greaterThan">
      <formula>J19</formula>
    </cfRule>
  </conditionalFormatting>
  <conditionalFormatting sqref="K22">
    <cfRule type="cellIs" dxfId="1" priority="174" operator="greaterThan">
      <formula>J22</formula>
    </cfRule>
  </conditionalFormatting>
  <conditionalFormatting sqref="K23">
    <cfRule type="cellIs" dxfId="1" priority="179" operator="greaterThan">
      <formula>J23</formula>
    </cfRule>
  </conditionalFormatting>
  <conditionalFormatting sqref="K24">
    <cfRule type="expression" dxfId="3" priority="184">
      <formula>AND(K24&gt;0,K24&lt;1000)</formula>
    </cfRule>
    <cfRule type="cellIs" dxfId="1" priority="185" operator="greaterThan">
      <formula>J24</formula>
    </cfRule>
  </conditionalFormatting>
  <conditionalFormatting sqref="K25">
    <cfRule type="cellIs" dxfId="1" priority="190" operator="greaterThan">
      <formula>J25</formula>
    </cfRule>
  </conditionalFormatting>
  <conditionalFormatting sqref="K27">
    <cfRule type="expression" dxfId="3" priority="195">
      <formula>AND(K27&gt;0,K27&lt;1000)</formula>
    </cfRule>
    <cfRule type="cellIs" dxfId="1" priority="196" operator="greaterThan">
      <formula>J27</formula>
    </cfRule>
  </conditionalFormatting>
  <conditionalFormatting sqref="K30">
    <cfRule type="cellIs" dxfId="1" priority="201" operator="greaterThan">
      <formula>J30</formula>
    </cfRule>
  </conditionalFormatting>
  <conditionalFormatting sqref="K32">
    <cfRule type="cellIs" dxfId="1" priority="206" operator="greaterThan">
      <formula>J32</formula>
    </cfRule>
  </conditionalFormatting>
  <conditionalFormatting sqref="K33">
    <cfRule type="cellIs" dxfId="1" priority="211" operator="greaterThan">
      <formula>J33</formula>
    </cfRule>
  </conditionalFormatting>
  <conditionalFormatting sqref="K34">
    <cfRule type="cellIs" dxfId="1" priority="216" operator="greaterThan">
      <formula>J34</formula>
    </cfRule>
  </conditionalFormatting>
  <conditionalFormatting sqref="K8">
    <cfRule type="cellIs" dxfId="1" priority="119" operator="greaterThan">
      <formula>J8</formula>
    </cfRule>
  </conditionalFormatting>
  <conditionalFormatting sqref="K9">
    <cfRule type="cellIs" dxfId="1" priority="124" operator="greaterThan">
      <formula>J9</formula>
    </cfRule>
  </conditionalFormatting>
  <conditionalFormatting sqref="L10">
    <cfRule type="cellIs" dxfId="4" priority="131" operator="lessThanOrEqual">
      <formula>H10</formula>
    </cfRule>
  </conditionalFormatting>
  <conditionalFormatting sqref="L11">
    <cfRule type="cellIs" dxfId="4" priority="136" operator="lessThanOrEqual">
      <formula>H11</formula>
    </cfRule>
  </conditionalFormatting>
  <conditionalFormatting sqref="L12">
    <cfRule type="cellIs" dxfId="4" priority="141" operator="lessThanOrEqual">
      <formula>H12</formula>
    </cfRule>
  </conditionalFormatting>
  <conditionalFormatting sqref="L13">
    <cfRule type="cellIs" dxfId="4" priority="146" operator="lessThanOrEqual">
      <formula>H13</formula>
    </cfRule>
  </conditionalFormatting>
  <conditionalFormatting sqref="L14">
    <cfRule type="cellIs" dxfId="4" priority="151" operator="lessThanOrEqual">
      <formula>H14</formula>
    </cfRule>
  </conditionalFormatting>
  <conditionalFormatting sqref="L15">
    <cfRule type="cellIs" dxfId="4" priority="156" operator="lessThanOrEqual">
      <formula>H15</formula>
    </cfRule>
  </conditionalFormatting>
  <conditionalFormatting sqref="L16">
    <cfRule type="cellIs" dxfId="4" priority="161" operator="lessThanOrEqual">
      <formula>H16</formula>
    </cfRule>
  </conditionalFormatting>
  <conditionalFormatting sqref="L18">
    <cfRule type="cellIs" dxfId="4" priority="166" operator="lessThanOrEqual">
      <formula>H18</formula>
    </cfRule>
  </conditionalFormatting>
  <conditionalFormatting sqref="L19">
    <cfRule type="cellIs" dxfId="4" priority="171" operator="lessThanOrEqual">
      <formula>H19</formula>
    </cfRule>
  </conditionalFormatting>
  <conditionalFormatting sqref="L22">
    <cfRule type="cellIs" dxfId="4" priority="176" operator="lessThanOrEqual">
      <formula>H22</formula>
    </cfRule>
  </conditionalFormatting>
  <conditionalFormatting sqref="L23">
    <cfRule type="cellIs" dxfId="4" priority="181" operator="lessThanOrEqual">
      <formula>H23</formula>
    </cfRule>
  </conditionalFormatting>
  <conditionalFormatting sqref="L24">
    <cfRule type="cellIs" dxfId="4" priority="187" operator="lessThanOrEqual">
      <formula>H24</formula>
    </cfRule>
  </conditionalFormatting>
  <conditionalFormatting sqref="L25">
    <cfRule type="cellIs" dxfId="4" priority="192" operator="lessThanOrEqual">
      <formula>H25</formula>
    </cfRule>
  </conditionalFormatting>
  <conditionalFormatting sqref="L27">
    <cfRule type="cellIs" dxfId="4" priority="198" operator="lessThanOrEqual">
      <formula>H27</formula>
    </cfRule>
  </conditionalFormatting>
  <conditionalFormatting sqref="L30">
    <cfRule type="cellIs" dxfId="4" priority="203" operator="lessThanOrEqual">
      <formula>H30</formula>
    </cfRule>
  </conditionalFormatting>
  <conditionalFormatting sqref="L32">
    <cfRule type="cellIs" dxfId="4" priority="208" operator="lessThanOrEqual">
      <formula>H32</formula>
    </cfRule>
  </conditionalFormatting>
  <conditionalFormatting sqref="L33">
    <cfRule type="cellIs" dxfId="4" priority="213" operator="lessThanOrEqual">
      <formula>H33</formula>
    </cfRule>
  </conditionalFormatting>
  <conditionalFormatting sqref="L34">
    <cfRule type="cellIs" dxfId="4" priority="218" operator="lessThanOrEqual">
      <formula>H34</formula>
    </cfRule>
  </conditionalFormatting>
  <conditionalFormatting sqref="L8">
    <cfRule type="cellIs" dxfId="4" priority="121" operator="lessThanOrEqual">
      <formula>H8</formula>
    </cfRule>
  </conditionalFormatting>
  <conditionalFormatting sqref="L9">
    <cfRule type="cellIs" dxfId="4" priority="126" operator="lessThanOrEqual">
      <formula>H9</formula>
    </cfRule>
  </conditionalFormatting>
  <conditionalFormatting sqref="M10">
    <cfRule type="cellIs" dxfId="4" priority="130" operator="lessThanOrEqual">
      <formula>I10</formula>
    </cfRule>
  </conditionalFormatting>
  <conditionalFormatting sqref="M11">
    <cfRule type="cellIs" dxfId="4" priority="135" operator="lessThanOrEqual">
      <formula>I11</formula>
    </cfRule>
  </conditionalFormatting>
  <conditionalFormatting sqref="M12">
    <cfRule type="cellIs" dxfId="4" priority="140" operator="lessThanOrEqual">
      <formula>I12</formula>
    </cfRule>
  </conditionalFormatting>
  <conditionalFormatting sqref="M13">
    <cfRule type="cellIs" dxfId="4" priority="145" operator="lessThanOrEqual">
      <formula>I13</formula>
    </cfRule>
  </conditionalFormatting>
  <conditionalFormatting sqref="M14">
    <cfRule type="cellIs" dxfId="4" priority="150" operator="lessThanOrEqual">
      <formula>I14</formula>
    </cfRule>
  </conditionalFormatting>
  <conditionalFormatting sqref="M15">
    <cfRule type="cellIs" dxfId="4" priority="155" operator="lessThanOrEqual">
      <formula>I15</formula>
    </cfRule>
  </conditionalFormatting>
  <conditionalFormatting sqref="M16">
    <cfRule type="cellIs" dxfId="4" priority="160" operator="lessThanOrEqual">
      <formula>I16</formula>
    </cfRule>
  </conditionalFormatting>
  <conditionalFormatting sqref="M18">
    <cfRule type="cellIs" dxfId="4" priority="165" operator="lessThanOrEqual">
      <formula>I18</formula>
    </cfRule>
  </conditionalFormatting>
  <conditionalFormatting sqref="M19">
    <cfRule type="cellIs" dxfId="4" priority="170" operator="lessThanOrEqual">
      <formula>I19</formula>
    </cfRule>
  </conditionalFormatting>
  <conditionalFormatting sqref="M22">
    <cfRule type="cellIs" dxfId="4" priority="175" operator="lessThanOrEqual">
      <formula>I22</formula>
    </cfRule>
  </conditionalFormatting>
  <conditionalFormatting sqref="M23">
    <cfRule type="cellIs" dxfId="4" priority="180" operator="lessThanOrEqual">
      <formula>I23</formula>
    </cfRule>
  </conditionalFormatting>
  <conditionalFormatting sqref="M24">
    <cfRule type="cellIs" dxfId="4" priority="186" operator="lessThanOrEqual">
      <formula>I24</formula>
    </cfRule>
  </conditionalFormatting>
  <conditionalFormatting sqref="M25">
    <cfRule type="cellIs" dxfId="4" priority="191" operator="lessThanOrEqual">
      <formula>I25</formula>
    </cfRule>
  </conditionalFormatting>
  <conditionalFormatting sqref="M27">
    <cfRule type="cellIs" dxfId="4" priority="197" operator="lessThanOrEqual">
      <formula>I27</formula>
    </cfRule>
  </conditionalFormatting>
  <conditionalFormatting sqref="M30">
    <cfRule type="cellIs" dxfId="4" priority="202" operator="lessThanOrEqual">
      <formula>I30</formula>
    </cfRule>
  </conditionalFormatting>
  <conditionalFormatting sqref="M32">
    <cfRule type="cellIs" dxfId="4" priority="207" operator="lessThanOrEqual">
      <formula>I32</formula>
    </cfRule>
  </conditionalFormatting>
  <conditionalFormatting sqref="M33">
    <cfRule type="cellIs" dxfId="4" priority="212" operator="lessThanOrEqual">
      <formula>I33</formula>
    </cfRule>
  </conditionalFormatting>
  <conditionalFormatting sqref="M34">
    <cfRule type="cellIs" dxfId="4" priority="217" operator="lessThanOrEqual">
      <formula>I34</formula>
    </cfRule>
  </conditionalFormatting>
  <conditionalFormatting sqref="M8">
    <cfRule type="cellIs" dxfId="4" priority="120" operator="lessThanOrEqual">
      <formula>I8</formula>
    </cfRule>
  </conditionalFormatting>
  <conditionalFormatting sqref="M9">
    <cfRule type="cellIs" dxfId="4" priority="125" operator="lessThanOrEqual">
      <formula>I9</formula>
    </cfRule>
  </conditionalFormatting>
  <conditionalFormatting sqref="O10">
    <cfRule type="cellIs" dxfId="1" priority="229" operator="equal">
      <formula>0</formula>
    </cfRule>
    <cfRule type="cellIs" dxfId="2" priority="230" operator="lessThan">
      <formula>G10</formula>
    </cfRule>
  </conditionalFormatting>
  <conditionalFormatting sqref="O11">
    <cfRule type="cellIs" dxfId="1" priority="234" operator="equal">
      <formula>0</formula>
    </cfRule>
    <cfRule type="cellIs" dxfId="2" priority="235" operator="lessThan">
      <formula>G11</formula>
    </cfRule>
  </conditionalFormatting>
  <conditionalFormatting sqref="O12">
    <cfRule type="cellIs" dxfId="1" priority="239" operator="equal">
      <formula>0</formula>
    </cfRule>
    <cfRule type="cellIs" dxfId="2" priority="240" operator="lessThan">
      <formula>G12</formula>
    </cfRule>
  </conditionalFormatting>
  <conditionalFormatting sqref="O13">
    <cfRule type="cellIs" dxfId="1" priority="244" operator="equal">
      <formula>0</formula>
    </cfRule>
    <cfRule type="cellIs" dxfId="2" priority="245" operator="lessThan">
      <formula>G13</formula>
    </cfRule>
  </conditionalFormatting>
  <conditionalFormatting sqref="O14">
    <cfRule type="cellIs" dxfId="1" priority="249" operator="equal">
      <formula>0</formula>
    </cfRule>
    <cfRule type="cellIs" dxfId="2" priority="250" operator="lessThan">
      <formula>G14</formula>
    </cfRule>
  </conditionalFormatting>
  <conditionalFormatting sqref="O15">
    <cfRule type="cellIs" dxfId="1" priority="254" operator="equal">
      <formula>0</formula>
    </cfRule>
    <cfRule type="cellIs" dxfId="2" priority="255" operator="lessThan">
      <formula>G15</formula>
    </cfRule>
  </conditionalFormatting>
  <conditionalFormatting sqref="O16">
    <cfRule type="cellIs" dxfId="1" priority="259" operator="equal">
      <formula>0</formula>
    </cfRule>
    <cfRule type="cellIs" dxfId="2" priority="260" operator="lessThan">
      <formula>G16</formula>
    </cfRule>
  </conditionalFormatting>
  <conditionalFormatting sqref="O18">
    <cfRule type="cellIs" dxfId="1" priority="264" operator="equal">
      <formula>0</formula>
    </cfRule>
    <cfRule type="cellIs" dxfId="2" priority="265" operator="lessThan">
      <formula>G18</formula>
    </cfRule>
  </conditionalFormatting>
  <conditionalFormatting sqref="O19">
    <cfRule type="cellIs" dxfId="1" priority="269" operator="equal">
      <formula>0</formula>
    </cfRule>
    <cfRule type="cellIs" dxfId="2" priority="270" operator="lessThan">
      <formula>G19</formula>
    </cfRule>
  </conditionalFormatting>
  <conditionalFormatting sqref="O22">
    <cfRule type="cellIs" dxfId="1" priority="274" operator="equal">
      <formula>0</formula>
    </cfRule>
    <cfRule type="cellIs" dxfId="2" priority="275" operator="lessThan">
      <formula>G22</formula>
    </cfRule>
  </conditionalFormatting>
  <conditionalFormatting sqref="O23">
    <cfRule type="cellIs" dxfId="1" priority="279" operator="equal">
      <formula>0</formula>
    </cfRule>
    <cfRule type="cellIs" dxfId="2" priority="280" operator="lessThan">
      <formula>G23</formula>
    </cfRule>
  </conditionalFormatting>
  <conditionalFormatting sqref="O25">
    <cfRule type="cellIs" dxfId="1" priority="284" operator="equal">
      <formula>0</formula>
    </cfRule>
    <cfRule type="cellIs" dxfId="2" priority="285" operator="lessThan">
      <formula>G25</formula>
    </cfRule>
  </conditionalFormatting>
  <conditionalFormatting sqref="O32">
    <cfRule type="cellIs" dxfId="1" priority="289" operator="equal">
      <formula>0</formula>
    </cfRule>
    <cfRule type="cellIs" dxfId="2" priority="290" operator="lessThan">
      <formula>G32</formula>
    </cfRule>
  </conditionalFormatting>
  <conditionalFormatting sqref="O34">
    <cfRule type="cellIs" dxfId="1" priority="294" operator="equal">
      <formula>0</formula>
    </cfRule>
    <cfRule type="cellIs" dxfId="2" priority="295" operator="lessThan">
      <formula>G34</formula>
    </cfRule>
  </conditionalFormatting>
  <conditionalFormatting sqref="O8">
    <cfRule type="cellIs" dxfId="1" priority="219" operator="equal">
      <formula>0</formula>
    </cfRule>
    <cfRule type="cellIs" dxfId="2" priority="220" operator="lessThan">
      <formula>G8</formula>
    </cfRule>
  </conditionalFormatting>
  <conditionalFormatting sqref="O9">
    <cfRule type="cellIs" dxfId="1" priority="224" operator="equal">
      <formula>0</formula>
    </cfRule>
    <cfRule type="cellIs" dxfId="2" priority="225" operator="lessThan">
      <formula>G9</formula>
    </cfRule>
  </conditionalFormatting>
  <conditionalFormatting sqref="P10">
    <cfRule type="cellIs" dxfId="1" priority="231" operator="greaterThan">
      <formula>O10</formula>
    </cfRule>
  </conditionalFormatting>
  <conditionalFormatting sqref="P11">
    <cfRule type="cellIs" dxfId="1" priority="236" operator="greaterThan">
      <formula>O11</formula>
    </cfRule>
  </conditionalFormatting>
  <conditionalFormatting sqref="P12">
    <cfRule type="cellIs" dxfId="1" priority="241" operator="greaterThan">
      <formula>O12</formula>
    </cfRule>
  </conditionalFormatting>
  <conditionalFormatting sqref="P13">
    <cfRule type="cellIs" dxfId="1" priority="246" operator="greaterThan">
      <formula>O13</formula>
    </cfRule>
  </conditionalFormatting>
  <conditionalFormatting sqref="P14">
    <cfRule type="cellIs" dxfId="1" priority="251" operator="greaterThan">
      <formula>O14</formula>
    </cfRule>
  </conditionalFormatting>
  <conditionalFormatting sqref="P15">
    <cfRule type="cellIs" dxfId="1" priority="256" operator="greaterThan">
      <formula>O15</formula>
    </cfRule>
  </conditionalFormatting>
  <conditionalFormatting sqref="P16">
    <cfRule type="cellIs" dxfId="1" priority="261" operator="greaterThan">
      <formula>O16</formula>
    </cfRule>
  </conditionalFormatting>
  <conditionalFormatting sqref="P18">
    <cfRule type="cellIs" dxfId="1" priority="266" operator="greaterThan">
      <formula>O18</formula>
    </cfRule>
  </conditionalFormatting>
  <conditionalFormatting sqref="P19">
    <cfRule type="cellIs" dxfId="1" priority="271" operator="greaterThan">
      <formula>O19</formula>
    </cfRule>
  </conditionalFormatting>
  <conditionalFormatting sqref="P22">
    <cfRule type="cellIs" dxfId="1" priority="276" operator="greaterThan">
      <formula>O22</formula>
    </cfRule>
  </conditionalFormatting>
  <conditionalFormatting sqref="P23">
    <cfRule type="cellIs" dxfId="1" priority="281" operator="greaterThan">
      <formula>O23</formula>
    </cfRule>
  </conditionalFormatting>
  <conditionalFormatting sqref="P25">
    <cfRule type="cellIs" dxfId="1" priority="286" operator="greaterThan">
      <formula>O25</formula>
    </cfRule>
  </conditionalFormatting>
  <conditionalFormatting sqref="P32">
    <cfRule type="cellIs" dxfId="1" priority="291" operator="greaterThan">
      <formula>O32</formula>
    </cfRule>
  </conditionalFormatting>
  <conditionalFormatting sqref="P34">
    <cfRule type="cellIs" dxfId="1" priority="296" operator="greaterThan">
      <formula>O34</formula>
    </cfRule>
  </conditionalFormatting>
  <conditionalFormatting sqref="P8">
    <cfRule type="cellIs" dxfId="1" priority="221" operator="greaterThan">
      <formula>O8</formula>
    </cfRule>
  </conditionalFormatting>
  <conditionalFormatting sqref="P9">
    <cfRule type="cellIs" dxfId="1" priority="226" operator="greaterThan">
      <formula>O9</formula>
    </cfRule>
  </conditionalFormatting>
  <conditionalFormatting sqref="Q10">
    <cfRule type="cellIs" dxfId="4" priority="233" operator="lessThanOrEqual">
      <formula>H10</formula>
    </cfRule>
  </conditionalFormatting>
  <conditionalFormatting sqref="Q11">
    <cfRule type="cellIs" dxfId="4" priority="238" operator="lessThanOrEqual">
      <formula>H11</formula>
    </cfRule>
  </conditionalFormatting>
  <conditionalFormatting sqref="Q12">
    <cfRule type="cellIs" dxfId="4" priority="243" operator="lessThanOrEqual">
      <formula>H12</formula>
    </cfRule>
  </conditionalFormatting>
  <conditionalFormatting sqref="Q13">
    <cfRule type="cellIs" dxfId="4" priority="248" operator="lessThanOrEqual">
      <formula>H13</formula>
    </cfRule>
  </conditionalFormatting>
  <conditionalFormatting sqref="Q14">
    <cfRule type="cellIs" dxfId="4" priority="253" operator="lessThanOrEqual">
      <formula>H14</formula>
    </cfRule>
  </conditionalFormatting>
  <conditionalFormatting sqref="Q15">
    <cfRule type="cellIs" dxfId="4" priority="258" operator="lessThanOrEqual">
      <formula>H15</formula>
    </cfRule>
  </conditionalFormatting>
  <conditionalFormatting sqref="Q16">
    <cfRule type="cellIs" dxfId="4" priority="263" operator="lessThanOrEqual">
      <formula>H16</formula>
    </cfRule>
  </conditionalFormatting>
  <conditionalFormatting sqref="Q18">
    <cfRule type="cellIs" dxfId="4" priority="268" operator="lessThanOrEqual">
      <formula>H18</formula>
    </cfRule>
  </conditionalFormatting>
  <conditionalFormatting sqref="Q19">
    <cfRule type="cellIs" dxfId="4" priority="273" operator="lessThanOrEqual">
      <formula>H19</formula>
    </cfRule>
  </conditionalFormatting>
  <conditionalFormatting sqref="Q22">
    <cfRule type="cellIs" dxfId="4" priority="278" operator="lessThanOrEqual">
      <formula>H22</formula>
    </cfRule>
  </conditionalFormatting>
  <conditionalFormatting sqref="Q23">
    <cfRule type="cellIs" dxfId="4" priority="283" operator="lessThanOrEqual">
      <formula>H23</formula>
    </cfRule>
  </conditionalFormatting>
  <conditionalFormatting sqref="Q25">
    <cfRule type="cellIs" dxfId="4" priority="288" operator="lessThanOrEqual">
      <formula>H25</formula>
    </cfRule>
  </conditionalFormatting>
  <conditionalFormatting sqref="Q32">
    <cfRule type="cellIs" dxfId="4" priority="293" operator="lessThanOrEqual">
      <formula>H32</formula>
    </cfRule>
  </conditionalFormatting>
  <conditionalFormatting sqref="Q34">
    <cfRule type="cellIs" dxfId="4" priority="298" operator="lessThanOrEqual">
      <formula>H34</formula>
    </cfRule>
  </conditionalFormatting>
  <conditionalFormatting sqref="Q8">
    <cfRule type="cellIs" dxfId="4" priority="223" operator="lessThanOrEqual">
      <formula>H8</formula>
    </cfRule>
  </conditionalFormatting>
  <conditionalFormatting sqref="Q9">
    <cfRule type="cellIs" dxfId="4" priority="228" operator="lessThanOrEqual">
      <formula>H9</formula>
    </cfRule>
  </conditionalFormatting>
  <conditionalFormatting sqref="R10">
    <cfRule type="cellIs" dxfId="4" priority="232" operator="lessThanOrEqual">
      <formula>I10</formula>
    </cfRule>
  </conditionalFormatting>
  <conditionalFormatting sqref="R11">
    <cfRule type="cellIs" dxfId="4" priority="237" operator="lessThanOrEqual">
      <formula>I11</formula>
    </cfRule>
  </conditionalFormatting>
  <conditionalFormatting sqref="R12">
    <cfRule type="cellIs" dxfId="4" priority="242" operator="lessThanOrEqual">
      <formula>I12</formula>
    </cfRule>
  </conditionalFormatting>
  <conditionalFormatting sqref="R13">
    <cfRule type="cellIs" dxfId="4" priority="247" operator="lessThanOrEqual">
      <formula>I13</formula>
    </cfRule>
  </conditionalFormatting>
  <conditionalFormatting sqref="R14">
    <cfRule type="cellIs" dxfId="4" priority="252" operator="lessThanOrEqual">
      <formula>I14</formula>
    </cfRule>
  </conditionalFormatting>
  <conditionalFormatting sqref="R15">
    <cfRule type="cellIs" dxfId="4" priority="257" operator="lessThanOrEqual">
      <formula>I15</formula>
    </cfRule>
  </conditionalFormatting>
  <conditionalFormatting sqref="R16">
    <cfRule type="cellIs" dxfId="4" priority="262" operator="lessThanOrEqual">
      <formula>I16</formula>
    </cfRule>
  </conditionalFormatting>
  <conditionalFormatting sqref="R18">
    <cfRule type="cellIs" dxfId="4" priority="267" operator="lessThanOrEqual">
      <formula>I18</formula>
    </cfRule>
  </conditionalFormatting>
  <conditionalFormatting sqref="R19">
    <cfRule type="cellIs" dxfId="4" priority="272" operator="lessThanOrEqual">
      <formula>I19</formula>
    </cfRule>
  </conditionalFormatting>
  <conditionalFormatting sqref="R22">
    <cfRule type="cellIs" dxfId="4" priority="277" operator="lessThanOrEqual">
      <formula>I22</formula>
    </cfRule>
  </conditionalFormatting>
  <conditionalFormatting sqref="R23">
    <cfRule type="cellIs" dxfId="4" priority="282" operator="lessThanOrEqual">
      <formula>I23</formula>
    </cfRule>
  </conditionalFormatting>
  <conditionalFormatting sqref="R25">
    <cfRule type="cellIs" dxfId="4" priority="287" operator="lessThanOrEqual">
      <formula>I25</formula>
    </cfRule>
  </conditionalFormatting>
  <conditionalFormatting sqref="R32">
    <cfRule type="cellIs" dxfId="4" priority="292" operator="lessThanOrEqual">
      <formula>I32</formula>
    </cfRule>
  </conditionalFormatting>
  <conditionalFormatting sqref="R34">
    <cfRule type="cellIs" dxfId="4" priority="297" operator="lessThanOrEqual">
      <formula>I34</formula>
    </cfRule>
  </conditionalFormatting>
  <conditionalFormatting sqref="R8">
    <cfRule type="cellIs" dxfId="4" priority="222" operator="lessThanOrEqual">
      <formula>I8</formula>
    </cfRule>
  </conditionalFormatting>
  <conditionalFormatting sqref="R9">
    <cfRule type="cellIs" dxfId="4" priority="227" operator="lessThanOrEqual">
      <formula>I9</formula>
    </cfRule>
  </conditionalFormatting>
  <hyperlinks>
    <hyperlink ref="F7" r:id="rId1"/>
    <hyperlink ref="F8" r:id="rId2"/>
    <hyperlink ref="N8" r:id="rId3"/>
    <hyperlink ref="S8" r:id="rId4"/>
    <hyperlink ref="F9" r:id="rId5"/>
    <hyperlink ref="N9" r:id="rId6"/>
    <hyperlink ref="S9" r:id="rId7"/>
    <hyperlink ref="F10" r:id="rId8"/>
    <hyperlink ref="N10" r:id="rId9"/>
    <hyperlink ref="S10" r:id="rId10"/>
    <hyperlink ref="F11" r:id="rId11"/>
    <hyperlink ref="N11" r:id="rId12"/>
    <hyperlink ref="S11" r:id="rId13"/>
    <hyperlink ref="F12" r:id="rId14"/>
    <hyperlink ref="N12" r:id="rId15"/>
    <hyperlink ref="S12" r:id="rId16"/>
    <hyperlink ref="N13" r:id="rId17"/>
    <hyperlink ref="S13" r:id="rId18"/>
    <hyperlink ref="F14" r:id="rId19"/>
    <hyperlink ref="N14" r:id="rId20"/>
    <hyperlink ref="S14" r:id="rId21"/>
    <hyperlink ref="F15" r:id="rId22"/>
    <hyperlink ref="N15" r:id="rId23"/>
    <hyperlink ref="S15" r:id="rId24"/>
    <hyperlink ref="F16" r:id="rId25"/>
    <hyperlink ref="N16" r:id="rId26"/>
    <hyperlink ref="S16" r:id="rId27"/>
    <hyperlink ref="F18" r:id="rId28"/>
    <hyperlink ref="N18" r:id="rId29"/>
    <hyperlink ref="S18" r:id="rId30"/>
    <hyperlink ref="F19" r:id="rId31"/>
    <hyperlink ref="N19" r:id="rId32"/>
    <hyperlink ref="S19" r:id="rId33"/>
    <hyperlink ref="F20" r:id="rId34"/>
    <hyperlink ref="F21" r:id="rId35"/>
    <hyperlink ref="N22" r:id="rId36"/>
    <hyperlink ref="S22" r:id="rId37"/>
    <hyperlink ref="N23" r:id="rId38"/>
    <hyperlink ref="S23" r:id="rId39"/>
    <hyperlink ref="F24" r:id="rId40"/>
    <hyperlink ref="N24" r:id="rId41"/>
    <hyperlink ref="F25" r:id="rId42"/>
    <hyperlink ref="N25" r:id="rId43"/>
    <hyperlink ref="S25" r:id="rId44"/>
    <hyperlink ref="F26" r:id="rId45"/>
    <hyperlink ref="F27" r:id="rId46"/>
    <hyperlink ref="N27" r:id="rId47"/>
    <hyperlink ref="F28" r:id="rId48"/>
    <hyperlink ref="F29" r:id="rId49"/>
    <hyperlink ref="F30" r:id="rId50"/>
    <hyperlink ref="N30" r:id="rId51"/>
    <hyperlink ref="F31" r:id="rId52"/>
    <hyperlink ref="N32" r:id="rId53"/>
    <hyperlink ref="S32" r:id="rId54"/>
    <hyperlink ref="F33" r:id="rId55"/>
    <hyperlink ref="N33" r:id="rId56"/>
    <hyperlink ref="N34" r:id="rId57"/>
    <hyperlink ref="S34" r:id="rId58"/>
  </hyperlinks>
  <pageMargins left="0.7" right="0.7" top="0.75" bottom="0.75" header="0.3" footer="0.3"/>
  <legacyDrawing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MainBoard. </vt:lpstr>
      <vt:lpstr>BoardQty</vt:lpstr>
      <vt:lpstr>digikey_part_data</vt:lpstr>
      <vt:lpstr>global_part_data</vt:lpstr>
      <vt:lpstr>mouser_part_data</vt:lpstr>
      <vt:lpstr>PURCHASE_DESCRIPTION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2021-08-12T05:46:41Z</dcterms:created>
  <dcterms:modified xsi:type="dcterms:W3CDTF">2021-08-12T05:46:41Z</dcterms:modified>
</cp:coreProperties>
</file>