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Board" sheetId="1" r:id="rId1"/>
  </sheets>
  <definedNames>
    <definedName name="BoardQty" localSheetId="0">'MainBoard'!$I$1</definedName>
    <definedName name="PURCHASE_DESCRIPTION" localSheetId="0">'MainBoard'!$I$37</definedName>
    <definedName name="TotalCost" localSheetId="0">'MainBoard'!$I$3</definedName>
    <definedName name="USD_GBP" localSheetId="0">'MainBoard'!$C$37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E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Y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D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E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$0.29      $2.89
    25   $0.29      $7.16
   100   $0.18     $17.94
   250   $0.17     $43.23
   500   $0.13     $64.65
  1000   $0.11    $110.90
  3000   $0.10    $305.40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$0.31      $3.10
    50   $0.22     $10.85
   100   $0.19     $18.60
   500   $0.14     $69.73
  1000   $0.12    $117.77
  3000   $0.10    $291.06</t>
        </r>
      </text>
    </comment>
    <comment ref="V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X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£0.06    £186.00</t>
        </r>
      </text>
    </comment>
    <comment ref="AJ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$3.09
    50   $0.31     $15.45
   100   $0.18     $18.50
  1000   $0.12    $117.00
 10000   $0.10  $1,050.00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$0.10      $0.99
    50   $0.06      $2.81
   100   $0.05      $4.65
   500   $0.03     $16.31
  1000   $0.03     $27.00
  4000   $0.02     $92.00</t>
        </r>
      </text>
    </comment>
    <comment ref="X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£0.60
   100   £0.05      £4.91
   150   £0.05      £7.36
   500   £0.03     £15.80
  1000   £0.02     £23.70
  2000   £0.02     £46.40
  4000   £0.02     £78.40
 20000   £0.02    £384.00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$0.11      $1.13
    50   $0.11      $5.65
   100   $0.07      $7.00
  1000   $0.05     $52.00
 10000   $0.04    $410.00</t>
        </r>
      </text>
    </comment>
    <comment ref="AP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10   $0.23      $2.29
    25   $0.18      $4.52
    50   $0.14      $6.90
   100   $0.09      $9.10
   250   $0.08     $19.75
   500   $0.07     $32.50
  1000   $0.05     $54.00
  4000   $0.04    $140.00
  5000   $0.03    $155.00
 10000   $0.02    $240.00
 12000   $0.05    $576.00
 20000   $0.02    $380.00</t>
        </r>
      </text>
    </comment>
    <comment ref="AV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£0.09      £2.20</t>
        </r>
      </text>
    </comment>
    <comment ref="BB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£4.03
   300   £0.03      £8.15
  1000   £0.02     £18.43
  2500   £0.01     £36.25
 10000   £0.01    £140.80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$0.46      $4.62
    50   $0.35     $17.46
   100   $0.30     $30.41
   500   $0.23    $112.64
  1000   $0.19    $191.49
  3000   $0.18    $540.66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2500   $0.03     $87.25
 10000   $0.03    $330.00
 25000   $0.03    $785.00
 50000   $0.03  $1,430.00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$0.13      $1.27
    50   $0.07      $3.59
   100   $0.06      $5.95
   500   $0.04     $20.87
  1000   $0.03     $34.55
  2500   $0.03     $80.40</t>
        </r>
      </text>
    </comment>
    <comment ref="X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£0.70
    50   £0.06      £3.16
   150   £0.06      £9.48
   250   £0.05     £12.88
   500   £0.04     £19.90
  1000   £0.03     £29.50
  2500   £0.03     £72.25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$0.15      $3.02
   200   $0.12     $23.40
   600   $0.11     $66.44
  2000   $0.10    $209.00
 10000   $0.10  $1,017.30
 20000   $0.10  $2,007.20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$0.07      $0.72
    50   $0.07      $3.60
   100   $0.06      $6.00
  1000   $0.04     $35.00
 10000   $0.04    $450.00</t>
        </r>
      </text>
    </comment>
    <comment ref="A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 5   $0.36      $1.82
    10   $0.17      $1.71
    25   $0.15      $3.75
    50   $0.13      $6.30
   100   $0.10     $10.50
   250   $0.10     $24.75
   500   $0.09     $46.50
  1000   $0.08     $80.00
  2500   $0.07    $177.50
  5000   $0.07    $345.00
 10000   $0.07    $660.00</t>
        </r>
      </text>
    </comment>
    <comment ref="AV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£0.04     £18.00
  2500   £0.03     £72.50</t>
        </r>
      </text>
    </comment>
    <comment ref="AZ1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B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£3.53
   300   £0.02      £6.87
  1000   £0.02     £16.68
  2500   £0.01     £29.25</t>
        </r>
      </text>
    </comment>
    <comment ref="J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P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$0.95      $0.95
    10   $0.70      $7.00
    50   $0.56     $27.98
   100   $0.48     $47.97
   500   $0.38    $189.88
  1000   $0.32    $319.79
  2500   $0.30    $749.50</t>
        </r>
      </text>
    </comment>
    <comment ref="X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£1.04      £5.20
    10   £1.04     £10.40
    50   £0.74     £37.05
   250   £0.56    £140.75
   500   £0.47    £234.50
  2500   £0.40    £997.50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$2.54      $2.54
    10   $2.06     $20.60
    50   $2.06    $103.00
   100   $1.54    $154.00
  1000   $1.18  $1,180.00
 10000   $1.13 $11,300.00</t>
        </r>
      </text>
    </comment>
    <comment ref="A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$1.66      $1.66
     5   $1.12      $5.60
    10   $1.28     $12.80
    25   $1.16     $29.00
    50   $1.04     $52.00
   100   $0.93     $92.50
   250   $0.83    $207.00
   500   $0.73    $364.50
  1000   $0.52    $522.00
  2500   $0.49  $1,215.00
  5000   $0.58  $2,890.00
 10000   $0.54  $5,400.00
 20000   $0.51 $10,200.00
 30000   $0.48 $14,400.00
 50000   $0.46 $23,100.00</t>
        </r>
      </text>
    </comment>
    <comment ref="AV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£2.44     £12.19
    50   £1.84     £92.10
   250   £1.34    £335.00
   375   £1.26    £472.50
   750   £1.23    £919.50
  2500   £0.89  £2,217.50
  5000   £0.86  £4,325.00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$0.14      $1.36
    25   $0.11      $2.63
   100   $0.07      $6.61
   250   $0.06     $16.20
   500   $0.06     $27.50
  1000   $0.05     $49.00
  3000   $0.04    $133.80
  6000   $0.03    $205.80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$0.95
    50   $0.05      $2.69
   100   $0.04      $4.45
   500   $0.03     $15.61
  1000   $0.03     $25.84
  4000   $0.02     $88.04</t>
        </r>
      </text>
    </comment>
    <comment ref="X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£0.75
   100   £0.05      £5.01
   150   £0.05      £7.51
   500   £0.04     £18.90
  1000   £0.03     £33.30
  4000   £0.03    £109.60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$0.07      $0.65
    50   $0.07      $3.25
   100   $0.05      $5.40
  1000   $0.03     $31.00
 10000   $0.03    $250.00</t>
        </r>
      </text>
    </comment>
    <comment ref="A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$0.25      $2.54
    25   $0.17      $4.35
    50   $0.13      $6.65
   100   $0.09      $9.30
   250   $0.08     $20.00
   500   $0.07     $33.50
  1000   $0.06     $56.00
  4000   $0.05    $184.00
  8000   $0.04    $352.00
 20000   $0.03    $600.00</t>
        </r>
      </text>
    </comment>
    <comment ref="AV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£0.10      £0.99
   100   £0.09      £9.10
   250   £0.08     £20.50
   500   £0.07     £35.00
  1000   £0.06     £62.00
  4000   £0.04    £144.00</t>
        </r>
      </text>
    </comment>
    <comment ref="BB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£0.10      £9.72
  1000   £0.05     £47.18
  4000   £0.03    £120.88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$0.09    $255.00
  6000   $0.08    $484.20
  9000   $0.08    $706.50
 12000   $0.08    $927.60
 15000   $0.07  $1,122.00
 24000   $0.07  $1,718.40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$0.11      $1.06
    50   $0.06      $3.02
   100   $0.05      $5.00
   500   $0.04     $17.54
  1000   $0.03     $29.04
  3000   $0.03     $81.09</t>
        </r>
      </text>
    </comment>
    <comment ref="X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50   £0.08      £3.93
   150   £0.08     £11.79
   250   £0.07     £16.38
   500   £0.06     £28.85
  1500   £0.05     £70.20
  3000   £0.04    £135.00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$0.95      $0.95
    10   $0.63      $6.32
    50   $0.63     $31.60
   100   $0.40     $39.70
  1000   $0.32    $322.00
 10000   $0.21  $2,150.00</t>
        </r>
      </text>
    </comment>
    <comment ref="A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 5   $0.33      $1.65
    10   $0.18      $1.78
    25   $0.38      $9.47
    50   $0.35     $17.75
   100   $0.33     $33.00
   250   $0.31     $77.25
   500   $0.29    $143.00
  1000   $0.27    $268.00
  3000   $0.21    $645.00
  6000   $0.21  $1,236.00
 12000   $0.20  $2,364.00</t>
        </r>
      </text>
    </comment>
    <comment ref="AV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£0.08      £7.90
   600   £0.06     £37.80
  1500   £0.05     £70.50
  3000   £0.05    £138.00</t>
        </r>
      </text>
    </comment>
    <comment ref="BB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£1.58
   100   £0.05      £4.55
  1000   £0.03     £26.89
  3000   £0.02     £67.14
 12000   £0.02    £259.44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200   $0.07     $14.12
   500   $0.06     $30.00
  1000   $0.05     $53.40
  2500   $0.05    $130.25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$0.20      $2.03
    50   $0.14      $6.76
   100   $0.12     $11.50
   500   $0.08     $40.57
  1000   $0.07     $71.00
  2500   $0.07    $169.05
  5000   $0.06    $312.75</t>
        </r>
      </text>
    </comment>
    <comment ref="X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£0.38      £0.38
     5   £0.32      £1.59
    10   £0.26      £2.56
    25   £0.25      £6.28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$2.03
    50   $0.20     $10.15
   100   $0.12     $11.50
  1000   $0.07     $71.00
 10000   $0.05    $530.00</t>
        </r>
      </text>
    </comment>
    <comment ref="AP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$0.22      $2.20
    25   $0.18      $4.40
    50   $0.13      $6.65
   100   $0.09      $8.80
   200   $0.09     $18.00
   500   $0.08     $40.50
  1000   $0.07     $72.00
  2500   $0.07    $172.50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£0.22      £1.09
   200   £0.08     £16.80
   250   £0.07     £17.50
   500   £0.06     £29.00
  2500   £0.05    £125.00
  5000   £0.04    £220.00</t>
        </r>
      </text>
    </comment>
    <comment ref="BB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£0.11      £1.12
   100   £0.08      £7.96
   200   £0.06     £11.37
  1000   £0.04     £44.67
  2000   £0.04     £78.50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$0.69
   100   $0.03      $3.09
   500   $0.03     $14.35
  1000   $0.02     $19.50
  2500   $0.01     $35.25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$0.84
   100   $0.05      $4.55
   500   $0.03     $13.99
  1000   $0.02     $19.08
  2000   $0.02     $32.44
  5000   $0.01     $73.15
 10000   $0.01    $127.20
 50000   $0.01    $525.00</t>
        </r>
      </text>
    </comment>
    <comment ref="X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£0.12      £0.59
    10   £0.09      £0.88
   100   £0.03      £3.35
   500   £0.03     £16.05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$0.87
    50   $0.09      $4.35
   100   $0.05      $4.80
  1000   $0.02     $20.00
 10000   $0.01    $130.00</t>
        </r>
      </text>
    </comment>
    <comment ref="AP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 5   $0.12      $0.59
    10   $0.07      $0.71
    25   $0.03      $0.73
    50   $0.03      $1.45
   100   $0.04      $3.70
   500   $0.03     $15.50
  1000   $0.02     $21.00
  2500   $0.02     $42.50</t>
        </r>
      </text>
    </comment>
    <comment ref="BB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£0.02      £0.72
   100   £0.01      £1.18
   250   £0.01      £2.62
  1000   £0.01      £8.90
  5000   £0.01     £40.05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$1.22      $1.22
    10   $0.78      $7.75
   100   $0.57     $57.36
   500   $0.53    $263.54
  1000   $0.44    $438.75</t>
        </r>
      </text>
    </comment>
    <comment ref="X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£1.30      £1.30
    10   £0.79      £7.90
    25   £0.77     £19.35
    50   £0.76     £37.90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$1.22      $1.22
    10   $0.78      $7.75
    50   $0.78     $38.75
   100   $0.57     $57.40
  1000   $0.42    $425.00
 10000   $0.41  $4,090.00</t>
        </r>
      </text>
    </comment>
    <comment ref="AP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$2.80
   100   $0.28     $28.00
   500   $0.28    $140.00
  1000   $0.28    $280.00
  2500   $0.28    $700.00</t>
        </r>
      </text>
    </comment>
    <comment ref="BB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£0.63      £0.63
     5   £0.43      £2.16
    25   £0.34      £8.42
   100   £0.29     £29.43
   500   £0.29    £142.90</t>
        </r>
      </text>
    </comment>
    <comment ref="J1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1500   $0.09    $131.55
  3000   $0.09    $260.40
  6000   $0.09    $515.40
  9000   $0.08    $749.70
 12000   $0.08    $990.00
 15000   $0.08  $1,224.00
 24000   $0.08  $1,929.60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$0.33      $3.34
    25   $0.31      $7.63
   100   $0.23     $22.73
   250   $0.21     $51.49
   500   $0.17     $85.22
  1000   $0.13    $127.84
  2500   $0.12    $293.12</t>
        </r>
      </text>
    </comment>
    <comment ref="X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£0.43      £0.43
    10   £0.34      £3.44
   100   £0.34     £33.70
   500   £0.33    £165.00
  1000   £0.32    £323.00</t>
        </r>
      </text>
    </comment>
    <comment ref="AJ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$0.33      $3.34
    50   $0.33     $16.70
   100   $0.33     $33.40
  1000   $0.33    $334.00
 10000   $0.33  $3,340.00</t>
        </r>
      </text>
    </comment>
    <comment ref="AP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100   $0.31     $30.90
   500   $0.29    $144.50
  1000   $0.27    $272.00
  2500   $0.26    $640.00</t>
        </r>
      </text>
    </comment>
    <comment ref="BB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3   £0.21      £0.62
    25   £0.16      £4.05
    75   £0.14     £10.43
   300   £0.11     £32.50</t>
        </r>
      </text>
    </comment>
    <comment ref="J1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1000   $0.58    $576.00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$1.39      $1.39
    10   $1.18     $11.76
    25   $1.13     $28.20
    50   $1.10     $55.20
   100   $1.06    $105.60
   250   $0.96    $240.00
   500   $0.86    $432.00
  1000   $0.77    $768.00
  2500   $0.70  $1,740.00</t>
        </r>
      </text>
    </comment>
    <comment ref="AJ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$0.86      $0.86
    10   $0.80      $7.95
    50   $0.78     $38.80
   100   $0.69     $68.60
  1000   $0.69    $686.00
 10000   $0.69  $6,860.00</t>
        </r>
      </text>
    </comment>
    <comment ref="AN1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P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$1.33      $1.33
    10   $1.26     $12.60
    25   $1.18     $29.50
    50   $1.11     $55.50
   100   $1.06    $106.00
   250   $0.96    $240.00
   500   $0.86    $432.00
  1000   $0.77    $768.00</t>
        </r>
      </text>
    </comment>
    <comment ref="BB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£0.66      £0.66
     5   £0.58      £2.90
    25   £0.45     £11.25
   100   £0.38     £38.00</t>
        </r>
      </text>
    </comment>
    <comment ref="J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$2.01
   100   $0.07      $7.06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$0.31      $3.08
   100   $0.16     $16.31
   500   $0.11     $53.66
  1000   $0.07     $72.98
  2000   $0.07    $131.66
  6000   $0.06    $343.44
 10000   $0.05    $486.50
 50000   $0.05  $2,362.50</t>
        </r>
      </text>
    </comment>
    <comment ref="X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£0.35      £1.77
    10   £0.25      £2.48
   100   £0.10     £10.20
   150   £0.10     £15.30
   500   £0.07     £33.10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$0.22      $2.24
    50   $0.22     $11.20
   100   $0.13     $13.30
  1000   $0.06     $64.00
 10000   $0.04    $430.00</t>
        </r>
      </text>
    </comment>
    <comment ref="AP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$0.21      $2.09
   100   $0.10     $10.40
  2000   $0.05     $92.00
  6000   $0.08    $474.00
 10000   $0.04    $420.00
 24000   $0.07  $1,776.00
 50000   $0.04  $1,800.00
 64000   $0.06  $4,096.00</t>
        </r>
      </text>
    </comment>
    <comment ref="AV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£0.07     £14.40
  1000   £0.07     £66.00
  2000   £0.06    £126.00</t>
        </r>
      </text>
    </comment>
    <comment ref="J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$0.31      $3.13
    25   $0.28      $6.90
   100   $0.11     $11.45
   250   $0.10     $25.75
   500   $0.09     $43.05
  1000   $0.05     $47.20
  3000   $0.05    $140.40
  6000   $0.05    $276.00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$0.26      $2.62
   100   $0.10     $10.23
  1000   $0.04     $42.84
  2500   $0.04     $98.17
  5000   $0.04    $178.50
 10000   $0.03    $333.20
 25000   $0.03    $809.25</t>
        </r>
      </text>
    </comment>
    <comment ref="X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£0.28      £2.76
   100   £0.10     £10.20
   150   £0.10     £15.30
   500   £0.07     £35.05
  1000   £0.04     £38.10
  2500   £0.04     £88.75
  5000   £0.03    £150.50
 25000   £0.03    £720.00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$0.52      $2.60
    50   $0.42     $20.77
   150   $0.40     $59.44
   500   $0.38    $188.60
  2500   $0.37    $921.85
  5000   $0.36  $1,822.75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$0.30      $3.02
    50   $0.30     $15.10
   100   $0.12     $11.80
  1000   $0.04     $45.00
 10000   $0.04    $370.00</t>
        </r>
      </text>
    </comment>
    <comment ref="AN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P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$0.33      $3.32
    25   $0.27      $6.62
    50   $0.20      $9.85
   100   $0.13     $13.00
   250   $0.10     $25.25
   500   $0.08     $38.00
  1000   $0.05     $52.00
  5000   $0.04    $220.00
 10000   $0.04    $410.00</t>
        </r>
      </text>
    </comment>
    <comment ref="AV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£0.30      £1.49
    50   £0.12      £6.00
   250   £0.08     £20.00
  1250   £0.04     £50.00
  2500   £0.04     £95.00
  5000   £0.03    £145.00
 15000   £0.02    £330.00</t>
        </r>
      </text>
    </comment>
    <comment ref="AZ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B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£0.82
   100   £0.05      £4.92
  1000   £0.03     £34.42
  5000   £0.03    £145.30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50000   $0.01    $365.00
100000   $0.01    $680.00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$0.75
   100   $0.03      $2.88
  1000   $0.01     $12.65
  2500   $0.01     $27.30
  5000   $0.01     $48.90</t>
        </r>
      </text>
    </comment>
    <comment ref="X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£0.61
   100   £0.02      £2.34
   150   £0.02      £3.51
   500   £0.02      £7.95
  1000   £0.01      £8.30
  2500   £0.01     £19.50
  5000   £0.01     £38.50
 25000   £0.01    £177.50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$0.07      $3.43
   500   $0.05     $25.77
  1500   $0.05     $72.59
  5000   $0.05    $226.25
 25000   $0.04  $1,096.50
 50000   $0.04  $2,158.50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 50   $0.07      $3.25
   100   $0.03      $2.90
  1000   $0.01     $13.00
 10000   $0.01     $90.00</t>
        </r>
      </text>
    </comment>
    <comment ref="AP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$0.11      $1.08
    25   $0.09      $2.23
    50   $0.07      $3.55
   100   $0.05      $5.40
   250   $0.04      $8.75
   500   $0.03     $14.00
  1000   $0.02     $21.00
  5000   $0.02    $110.00
 10000   $0.02    $170.00
 20000   $0.01    $260.00</t>
        </r>
      </text>
    </comment>
    <comment ref="J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100   $0.02      $2.31
  1000   $0.01     $10.36
  2500   $0.01     $22.47
  5000   $0.01     $37.15</t>
        </r>
      </text>
    </comment>
    <comment ref="X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£0.59
   100   £0.02      £2.38
   150   £0.02      £3.57
   500   £0.02      £8.35
  1000   £0.01      £9.70
  2500   £0.01     £19.75
  5000   £0.01     £33.00
 25000   £0.01    £147.50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$0.05      $2.56
   500   $0.04     $19.89
  1500   $0.04     $56.51
  5000   $0.04    $177.85
 25000   $0.03    $866.00
 50000   $0.03  $1,709.00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 50   $0.06      $2.85
   100   $0.02      $2.40
  1000   $0.01     $11.00
 10000   $0.01     $80.00</t>
        </r>
      </text>
    </comment>
    <comment ref="AP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$0.08      $0.79
    25   $0.06      $1.60
    50   $0.05      $2.45
   100   $0.03      $3.30
   250   $0.02      $5.00
   500   $0.01      $7.50
  1000   $0.01     $10.00
  5000   $0.01     $40.00
 10000   $0.01     $70.00</t>
        </r>
      </text>
    </comment>
    <comment ref="AV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£20.00
 15000   £0.01     £75.00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50000   $0.01    $265.00
 80000   $0.01    $416.00
100000   $0.01    $510.00
200000   $0.01  $1,000.00
500000   $0.00  $2,450.00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100   $0.02      $2.31
  1000   $0.01     $10.36
  2500   $0.01     $22.47
  5000   $0.01     $37.15</t>
        </r>
      </text>
    </comment>
    <comment ref="X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£0.47
   100   £0.02      £2.32
   150   £0.02      £3.48
   500   £0.02      £7.90
  1000   £0.01      £8.40
  2500   £0.01     £19.50
  5000   £0.01     £34.00
 25000   £0.01    £152.50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$0.04      $1.87
   500   $0.03     $14.18
  1500   $0.03     $40.05
  5000   $0.03    $125.25
 25000   $0.02    $607.75
 50000   $0.02  $1,197.50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$0.47
    50   $0.05      $2.35
   100   $0.02      $2.40
  1000   $0.01     $11.00
 10000   $0.01     $70.00</t>
        </r>
      </text>
    </comment>
    <comment ref="AP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$0.06      $0.56
    25   $0.05      $1.20
    50   $0.04      $1.90
   100   $0.03      $2.90
   250   $0.02      $5.00
   500   $0.01      $7.50
  1000   $0.01     $10.00
  5000   $0.01     $40.00
 10000   $0.01     $70.00
 50000   $0.01    $350.00</t>
        </r>
      </text>
    </comment>
    <comment ref="AV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£20.00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50000   $0.00    $225.00
 80000   $0.00    $352.00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100   $0.02      $2.31
  1000   $0.01     $10.36
  2500   $0.01     $22.47
  5000   $0.01     $37.15</t>
        </r>
      </text>
    </comment>
    <comment ref="V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X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£0.58
   100   £0.02      £2.33
   150   £0.02      £3.50
   500   £0.02      £8.30
  1000   £0.01      £9.90
  2500   £0.01     £19.50
  5000   £0.01     £33.00
 25000   £0.01    £147.50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$0.09      $4.63
   500   $0.07     $35.85
  1500   $0.07    $101.77
  5000   $0.06    $320.00
 25000   $0.06  $1,557.25
 50000   $0.06  $3,072.00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$0.49
    50   $0.05      $2.45
   100   $0.02      $2.40
  1000   $0.01     $11.00
 10000   $0.01     $70.00</t>
        </r>
      </text>
    </comment>
    <comment ref="AP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$0.07      $0.68
    25   $0.06      $1.40
    50   $0.04      $2.25
   100   $0.03      $3.30
   250   $0.03      $7.50
  5000   $0.01     $40.00
 10000   $0.02    $160.00
 20000   $0.02    $320.00
 30000   $0.02    $480.00
 50000   $0.01    $700.00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50000   $0.01    $265.00
 80000   $0.01    $416.00
100000   $0.01    $510.00
200000   $0.01  $1,000.00
500000   $0.00  $2,450.00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100   $0.02      $2.31
  1000   $0.01     $10.36
  2500   $0.01     $22.47
  5000   $0.01     $37.15</t>
        </r>
      </text>
    </comment>
    <comment ref="X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£0.58
   100   £0.02      £2.33
   150   £0.02      £3.50
   500   £0.02      £8.20
  1000   £0.01      £9.40
  2500   £0.01     £19.50
  5000   £0.01     £33.00
 25000   £0.01    £147.50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$0.04      $1.99
   500   $0.03     $15.38
  1500   $0.03     $43.65
  5000   $0.03    $137.20
 25000   $0.03    $667.75
 50000   $0.03  $1,317.00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 50   $0.06      $2.85
   100   $0.02      $2.40
  1000   $0.01     $12.00
 10000   $0.01     $70.00</t>
        </r>
      </text>
    </comment>
    <comment ref="AP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$0.08      $0.79
    25   $0.06      $1.60
    50   $0.05      $2.45
   100   $0.03      $3.30
  5000   $0.01     $50.00
 10000   $0.01     $90.00
 50000   $0.01    $450.00</t>
        </r>
      </text>
    </comment>
    <comment ref="AV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£20.00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50000   $0.01    $365.00
100000   $0.01    $680.00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$0.75
   100   $0.03      $2.88
  1000   $0.01     $12.65
  2500   $0.01     $27.30
  5000   $0.01     $48.90</t>
        </r>
      </text>
    </comment>
    <comment ref="X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£0.61
   100   £0.02      £2.34
   150   £0.02      £3.51
   500   £0.02      £7.95
  1000   £0.01      £8.30
  2500   £0.01     £19.50
  5000   £0.01     £38.50
 25000   £0.01    £177.50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$0.07      $3.43
   500   $0.05     $25.77
  1500   $0.05     $72.59
  5000   $0.05    $226.25
 25000   $0.04  $1,096.50
 50000   $0.04  $2,158.50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 50   $0.07      $3.25
   100   $0.03      $2.90
  1000   $0.01     $13.00
 10000   $0.01     $90.00</t>
        </r>
      </text>
    </comment>
    <comment ref="AP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$0.11      $1.08
    25   $0.09      $2.23
    50   $0.07      $3.55
   100   $0.05      $5.40
   250   $0.04      $8.75
   500   $0.03     $14.00
  1000   $0.02     $21.00
  5000   $0.02    $110.00
 10000   $0.02    $170.00
 20000   $0.01    $260.00</t>
        </r>
      </text>
    </comment>
    <comment ref="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$42.00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100   $0.02      $2.31
  1000   $0.01     $10.36
  2500   $0.01     $22.47
  5000   $0.01     $37.15</t>
        </r>
      </text>
    </comment>
    <comment ref="X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£0.02      £2.32
   150   £0.02      £3.48
   500   £0.02      £7.90
  1000   £0.01      £8.40
  2500   £0.01     £20.00
  5000   £0.01     £34.00
 25000   £0.01    £152.50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$0.05      $2.32
   500   $0.03     $17.42
  1500   $0.03     $49.08
  5000   $0.03    $153.00
 25000   $0.03    $741.25
 50000   $0.03  $1,459.50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$0.62
    50   $0.06      $3.10
   100   $0.03      $2.50
  1000   $0.01     $11.00
 10000   $0.01     $70.00</t>
        </r>
      </text>
    </comment>
    <comment ref="AP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$0.08      $1.93
    50   $0.06      $2.75
   100   $0.03      $3.10
   250   $0.03      $6.25
   500   $0.02      $9.50
  1000   $0.01     $12.00
  5000   $0.01     $45.00
 10000   $0.01     $90.00
 50000   $0.01    $450.00</t>
        </r>
      </text>
    </comment>
    <comment ref="AV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£0.01     £60.00
 10000   £0.01    £110.00
 15000   £0.01    £150.00
 20000   £0.01    £180.00</t>
        </r>
      </text>
    </comment>
    <comment ref="J2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$2.72      $2.72
   750   $2.62  $1,961.25
  1500   $2.56  $3,841.50
  3000   $2.51  $7,521.00
  5000   $2.36 $11,810.00
 10000   $2.29 $22,930.00
 25000   $2.22 $55,575.00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$4.36      $4.36
    10   $3.83     $38.35
   100   $3.05    $305.02
  1000   $2.53  $2,527.35</t>
        </r>
      </text>
    </comment>
    <comment ref="X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£3.11      £3.11
    10   £2.73     £27.30
   100   £2.17    £217.00
   250   £2.14    £535.00
   500   £2.10  £1,050.00
  1000   £1.80  £1,800.00</t>
        </r>
      </text>
    </comment>
    <comment ref="AJ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$4.15      $4.15
    10   $3.66     $36.60
    50   $3.66    $183.00
   100   $2.91    $291.00
  1000   $2.40  $2,400.00
 10000   $2.24 $22,400.00</t>
        </r>
      </text>
    </comment>
    <comment ref="AP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$4.03      $4.03
    10   $3.54     $35.40
    25   $3.30     $82.50
    50   $3.06    $153.00
   100   $2.82    $282.00
   250   $2.77    $692.50</t>
        </r>
      </text>
    </comment>
    <comment ref="AV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£1.72      £8.59
   100   £1.65    £165.00
   375   £1.58    £593.25
  1500   £1.53  £2,289.00
  3000   £1.48  £4,434.00</t>
        </r>
      </text>
    </comment>
    <comment ref="AZ2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B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£2.63      £2.63
     5   £1.94      £9.71
    10   £1.51     £15.14
    20   £1.13     £22.66</t>
        </r>
      </text>
    </comment>
    <comment ref="J3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$2.72      $2.72
   750   $2.62  $1,961.25
  1500   $2.56  $3,841.50
  3000   $2.51  $7,521.00
  5000   $2.36 $11,810.00
 10000   $2.29 $22,930.00
 25000   $2.22 $55,575.00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$4.36      $4.36
    10   $3.83     $38.35
   100   $3.05    $305.02
  1000   $2.53  $2,527.35</t>
        </r>
      </text>
    </comment>
    <comment ref="X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£3.11      £3.11
    10   £2.73     £27.30
   100   £2.17    £217.00
   250   £2.14    £535.00
   500   £2.10  £1,050.00
  1000   £1.80  £1,800.00</t>
        </r>
      </text>
    </comment>
    <comment ref="AJ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$4.15      $4.15
    10   $3.66     $36.60
    50   $3.66    $183.00
   100   $2.91    $291.00
  1000   $2.40  $2,400.00
 10000   $2.24 $22,400.00</t>
        </r>
      </text>
    </comment>
    <comment ref="AP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$4.03      $4.03
    10   $3.54     $35.40
    25   $3.30     $82.50
    50   $3.06    $153.00
   100   $2.82    $282.00
   250   $2.77    $692.50</t>
        </r>
      </text>
    </comment>
    <comment ref="AV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£1.72      £8.59
   100   £1.65    £165.00
   375   £1.58    £593.25
  1500   £1.53  £2,289.00
  3000   £1.48  £4,434.00</t>
        </r>
      </text>
    </comment>
    <comment ref="AZ3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B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£2.63      £2.63
     5   £1.94      £9.71
    10   £1.51     £15.14
    20   £1.13     £22.66</t>
        </r>
      </text>
    </comment>
    <comment ref="J3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$2.72      $2.72
   750   $2.62  $1,961.25
  1500   $2.56  $3,841.50
  3000   $2.51  $7,521.00
  5000   $2.36 $11,810.00
 10000   $2.29 $22,930.00
 25000   $2.22 $55,575.00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$4.36      $4.36
    10   $3.83     $38.35
   100   $3.05    $305.02
  1000   $2.53  $2,527.35</t>
        </r>
      </text>
    </comment>
    <comment ref="X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£3.11      £3.11
    10   £2.73     £27.30
   100   £2.17    £217.00
   250   £2.14    £535.00
   500   £2.10  £1,050.00
  1000   £1.80  £1,800.00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$4.15      $4.15
    10   $3.66     $36.60
    50   $3.66    $183.00
   100   $2.91    $291.00
  1000   $2.40  $2,400.00
 10000   $2.24 $22,400.00</t>
        </r>
      </text>
    </comment>
    <comment ref="AP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$4.03      $4.03
    10   $3.54     $35.40
    25   $3.30     $82.50
    50   $3.06    $153.00
   100   $2.82    $282.00
   250   $2.77    $692.50</t>
        </r>
      </text>
    </comment>
    <comment ref="AV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£1.72      £8.59
   100   £1.65    £165.00
   375   £1.58    £593.25
  1500   £1.53  £2,289.00
  3000   £1.48  £4,434.00</t>
        </r>
      </text>
    </comment>
    <comment ref="AZ3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B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£2.63      £2.63
     5   £1.94      £9.71
    10   £1.51     £15.14
    20   £1.13     £22.66</t>
        </r>
      </text>
    </comment>
    <comment ref="J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$0.06      $0.59
    25   $0.06      $1.46
   100   $0.03      $2.52
   250   $0.02      $5.83
   500   $0.02     $10.65
  1000   $0.01     $12.60
  3000   $0.01     $35.10
  6000   $0.01     $57.00
 15000   $0.01    $133.50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$0.75
   100   $0.03      $2.88
  1000   $0.01     $12.65
  2500   $0.01     $27.30
  5000   $0.01     $48.90</t>
        </r>
      </text>
    </comment>
    <comment ref="V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X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£0.07      £0.71
   150   £0.07     £10.68
  5000   £0.01     £38.50
 25000   £0.01    £177.50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$0.07      $3.47
   500   $0.05     $26.16
  1500   $0.05     $73.77
  5000   $0.05    $230.20
 25000   $0.04  $1,116.25
 50000   $0.04  $2,198.00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$0.75
    50   $0.07      $3.75
   100   $0.03      $3.20
  1000   $0.01     $14.00
 10000   $0.01    $100.00</t>
        </r>
      </text>
    </comment>
    <comment ref="AP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$0.09      $2.12
    50   $0.06      $2.95
   100   $0.03      $3.30
   250   $0.03      $6.75
   500   $0.02     $10.00
  1000   $0.01     $14.00
  5000   $0.01     $55.00
 10000   $0.01    $100.00
 50000   $0.01    $500.00</t>
        </r>
      </text>
    </comment>
    <comment ref="AV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£0.01     £30.00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$7.41      $7.41
    10   $6.67     $66.71
    25   $6.34    $158.39
    50   $6.07    $303.37
   100   $5.87    $586.63
   250   $5.56  $1,391.16
   500   $5.10  $2,547.66
  1000   $4.86  $4,860.68</t>
        </r>
      </text>
    </comment>
    <comment ref="V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X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£5.62      £5.62
     5   £5.35     £26.75
    10   £5.06     £50.60
    25   £4.81    £120.25
    50   £4.61    £230.50
   100   £4.46    £446.00</t>
        </r>
      </text>
    </comment>
    <comment ref="AH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$7.28      $7.28
    10   $6.63     $66.30
    50   $6.13    $306.50
   100   $5.97    $597.00
  1000   $4.81  $4,810.00
 10000   $4.81 $48,100.00</t>
        </r>
      </text>
    </comment>
    <comment ref="AN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P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$7.78      $7.78
     5   $7.39     $36.95
    10   $7.00     $70.00
    25   $6.65    $166.25
    50   $6.37    $318.50
   100   $6.16    $616.00</t>
        </r>
      </text>
    </comment>
    <comment ref="H36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W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A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37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C37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<sst xmlns="http://schemas.openxmlformats.org/spreadsheetml/2006/main" count="558" uniqueCount="258">
  <si>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</si>
  <si>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</si>
  <si>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</si>
  <si>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</si>
  <si>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</si>
  <si>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</si>
  <si>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</si>
  <si>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</si>
  <si>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</si>
  <si>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</si>
  <si>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</t>
  </si>
  <si>
    <t>20n</t>
  </si>
  <si>
    <t>C_0805_2012Metric_Pad1.18x1.45mm_HandSolder</t>
  </si>
  <si>
    <t>GRM21B5C1H203JA01L</t>
  </si>
  <si>
    <t>C2,C8</t>
  </si>
  <si>
    <t>1u</t>
  </si>
  <si>
    <t>C0805C105K4RACTU</t>
  </si>
  <si>
    <t>C3,C4</t>
  </si>
  <si>
    <t>50p</t>
  </si>
  <si>
    <t>0805Y0500103KXT</t>
  </si>
  <si>
    <t>C5,C9</t>
  </si>
  <si>
    <t>220n</t>
  </si>
  <si>
    <t>C0805C224K5RACTU</t>
  </si>
  <si>
    <t>C7</t>
  </si>
  <si>
    <t>47u</t>
  </si>
  <si>
    <t>C0805C476M9PACTU</t>
  </si>
  <si>
    <t>C10</t>
  </si>
  <si>
    <t>100n</t>
  </si>
  <si>
    <t>C0805C104K3RACTU</t>
  </si>
  <si>
    <t>C11</t>
  </si>
  <si>
    <t>10u</t>
  </si>
  <si>
    <t>C0805C106K8PACTU</t>
  </si>
  <si>
    <t>C12</t>
  </si>
  <si>
    <t>100u</t>
  </si>
  <si>
    <t>CP_Radial_D10.0mm_P7.50mm</t>
  </si>
  <si>
    <t>ECA-1VM101</t>
  </si>
  <si>
    <t>D1,D2,D5</t>
  </si>
  <si>
    <t>1N914</t>
  </si>
  <si>
    <t>D_DO-35_SOD27_P7.62mm_Horizontal</t>
  </si>
  <si>
    <t>D4</t>
  </si>
  <si>
    <t>LED_BLUE</t>
  </si>
  <si>
    <t>LED_5mm_Radial</t>
  </si>
  <si>
    <t>HLMP-DB25-B0000</t>
  </si>
  <si>
    <t>IC1</t>
  </si>
  <si>
    <t>RC4558</t>
  </si>
  <si>
    <t>SOIC-8_W3.9mm</t>
  </si>
  <si>
    <t>RC4558D</t>
  </si>
  <si>
    <t>J1,J2</t>
  </si>
  <si>
    <t>ACJM-HHDR</t>
  </si>
  <si>
    <t>J3</t>
  </si>
  <si>
    <t>PJ-102A</t>
  </si>
  <si>
    <t>CONN PWR JACK 2X5.5MM SOLDER</t>
  </si>
  <si>
    <t>Barrel_Jack_5.5mmODx2.1mmID_PJ-102A</t>
  </si>
  <si>
    <t>CUI Inc.</t>
  </si>
  <si>
    <t>CP-102A-ND</t>
  </si>
  <si>
    <t>Q1,Q2</t>
  </si>
  <si>
    <t>2N4401BU</t>
  </si>
  <si>
    <t>TRANS NPN 40V 0.6A TO-92</t>
  </si>
  <si>
    <t>TO-92-3</t>
  </si>
  <si>
    <t>ON Semiconductor</t>
  </si>
  <si>
    <t>2N4401TF</t>
  </si>
  <si>
    <t>R1,R8,R17,R18,R23</t>
  </si>
  <si>
    <t>1k</t>
  </si>
  <si>
    <t>R_0805_2012Metric_Pad1.20x1.40mm_HandSolder</t>
  </si>
  <si>
    <t>ERA6AEB102V</t>
  </si>
  <si>
    <t>R2</t>
  </si>
  <si>
    <t>505k</t>
  </si>
  <si>
    <t>ERJ-6ENF5103V</t>
  </si>
  <si>
    <t>R3,R5,R9,R10,R13,R14,R16</t>
  </si>
  <si>
    <t>10k</t>
  </si>
  <si>
    <t>ERJ-6GEYJ103V</t>
  </si>
  <si>
    <t>R6</t>
  </si>
  <si>
    <t>4k7</t>
  </si>
  <si>
    <t>ERJ-6GEYJ472V</t>
  </si>
  <si>
    <t>R7</t>
  </si>
  <si>
    <t>51k</t>
  </si>
  <si>
    <t>ERJ-6GEYJ513V</t>
  </si>
  <si>
    <t>R11</t>
  </si>
  <si>
    <t>220</t>
  </si>
  <si>
    <t>ERJ-6GEYJ221V</t>
  </si>
  <si>
    <t>R12</t>
  </si>
  <si>
    <t>510k</t>
  </si>
  <si>
    <t>R15</t>
  </si>
  <si>
    <t>100</t>
  </si>
  <si>
    <t>ERJ-6GEYJ101V</t>
  </si>
  <si>
    <t>R19</t>
  </si>
  <si>
    <t>500ka</t>
  </si>
  <si>
    <t>PinHeader_1x3_P2.54_Drill1.1mm</t>
  </si>
  <si>
    <t>0901200160</t>
  </si>
  <si>
    <t>R20</t>
  </si>
  <si>
    <t>20kb</t>
  </si>
  <si>
    <t>R21</t>
  </si>
  <si>
    <t>20ka</t>
  </si>
  <si>
    <t>R22</t>
  </si>
  <si>
    <t>1M5</t>
  </si>
  <si>
    <t>ERJ-6ENF1004V</t>
  </si>
  <si>
    <t>SW1</t>
  </si>
  <si>
    <t>FS57003PLT2B2M2QE</t>
  </si>
  <si>
    <t>SW_PUSH_E-Switch_FS57003PLT_3PDT</t>
  </si>
  <si>
    <t>V1,V2</t>
  </si>
  <si>
    <t>VSOURCE</t>
  </si>
  <si>
    <t>Arrow</t>
  </si>
  <si>
    <t>Avail</t>
  </si>
  <si>
    <t>Purch</t>
  </si>
  <si>
    <t>MOQ</t>
  </si>
  <si>
    <t>Cat#</t>
  </si>
  <si>
    <t>NonStk</t>
  </si>
  <si>
    <t>ECA1VM101</t>
  </si>
  <si>
    <t>ACJMHHDR</t>
  </si>
  <si>
    <t>ERJ6ENF5103V</t>
  </si>
  <si>
    <t>ERJ6GEYJ103V</t>
  </si>
  <si>
    <t>ERJ6GEYJ472V</t>
  </si>
  <si>
    <t>ERJ6GEYJ513V</t>
  </si>
  <si>
    <t>ERJ6GEYJ221V</t>
  </si>
  <si>
    <t>ERJ6GEYJ101V</t>
  </si>
  <si>
    <t>901200160</t>
  </si>
  <si>
    <t>ERJ6ENF1004V</t>
  </si>
  <si>
    <t>Buy here</t>
  </si>
  <si>
    <t>Digi-Key</t>
  </si>
  <si>
    <t>490-8307-1-ND</t>
  </si>
  <si>
    <t>399-1284-1-ND</t>
  </si>
  <si>
    <t>1608-1012-1-ND</t>
  </si>
  <si>
    <t>399-3491-1-ND</t>
  </si>
  <si>
    <t>399-5506-1-ND</t>
  </si>
  <si>
    <t>399-1168-1-ND</t>
  </si>
  <si>
    <t>399-4925-1-ND</t>
  </si>
  <si>
    <t>P5165-ND</t>
  </si>
  <si>
    <t>1N914FS-ND</t>
  </si>
  <si>
    <t>516-2803-ND</t>
  </si>
  <si>
    <t>296-9650-5-ND</t>
  </si>
  <si>
    <t>889-ACJM-HHDR-ND</t>
  </si>
  <si>
    <t>2N4401TFCT-ND</t>
  </si>
  <si>
    <t>P1.0KDACT-ND</t>
  </si>
  <si>
    <t>P510KCCT-ND</t>
  </si>
  <si>
    <t>P10KACT-ND</t>
  </si>
  <si>
    <t>P4.7KACT-ND</t>
  </si>
  <si>
    <t>P51KACT-ND</t>
  </si>
  <si>
    <t>P220ACT-ND</t>
  </si>
  <si>
    <t>P100ACT-ND</t>
  </si>
  <si>
    <t>23-0901200160-ND</t>
  </si>
  <si>
    <t>P1.00MCCT-ND</t>
  </si>
  <si>
    <t>EG5492-ND</t>
  </si>
  <si>
    <t>Farnell</t>
  </si>
  <si>
    <t>3785975</t>
  </si>
  <si>
    <t>9227792</t>
  </si>
  <si>
    <t>1288261</t>
  </si>
  <si>
    <t>1572633</t>
  </si>
  <si>
    <t>1650863</t>
  </si>
  <si>
    <t>1463362</t>
  </si>
  <si>
    <t>9693670</t>
  </si>
  <si>
    <t>9843817</t>
  </si>
  <si>
    <t>1003309</t>
  </si>
  <si>
    <t>3117712</t>
  </si>
  <si>
    <t>2453755</t>
  </si>
  <si>
    <t>1577659</t>
  </si>
  <si>
    <t>2303843</t>
  </si>
  <si>
    <t>2057719</t>
  </si>
  <si>
    <t>2057714</t>
  </si>
  <si>
    <t>2323854</t>
  </si>
  <si>
    <t>2057687</t>
  </si>
  <si>
    <t>2057681</t>
  </si>
  <si>
    <t>3051680</t>
  </si>
  <si>
    <t>2303880RL</t>
  </si>
  <si>
    <t>2771200</t>
  </si>
  <si>
    <t>LCSC</t>
  </si>
  <si>
    <t>C141143</t>
  </si>
  <si>
    <t>C192073</t>
  </si>
  <si>
    <t>C413333</t>
  </si>
  <si>
    <t>C180849</t>
  </si>
  <si>
    <t>C230645</t>
  </si>
  <si>
    <t>C230652</t>
  </si>
  <si>
    <t>C413172</t>
  </si>
  <si>
    <t>C230647</t>
  </si>
  <si>
    <t>C413339</t>
  </si>
  <si>
    <t>Mouser</t>
  </si>
  <si>
    <t>81GRM21B5C1H203JA1L</t>
  </si>
  <si>
    <t>80C0805C105K4R</t>
  </si>
  <si>
    <t>80C0805C224K5R</t>
  </si>
  <si>
    <t>80C0805C476M9P</t>
  </si>
  <si>
    <t>80C0805C104K3R</t>
  </si>
  <si>
    <t>80C0805C106K8P</t>
  </si>
  <si>
    <t>667ECA1VM101</t>
  </si>
  <si>
    <t>5121N914</t>
  </si>
  <si>
    <t>630HLMPDB25B0000</t>
  </si>
  <si>
    <t>595RC4558D</t>
  </si>
  <si>
    <t>523ACJMHHDR</t>
  </si>
  <si>
    <t>5122N4401TF</t>
  </si>
  <si>
    <t>667ERA6AEB102V</t>
  </si>
  <si>
    <t>667ERJ6ENF5103V</t>
  </si>
  <si>
    <t>667ERJ6GEYJ103V</t>
  </si>
  <si>
    <t>667ERJ6GEYJ472V</t>
  </si>
  <si>
    <t>667ERJ6GEYJ513V</t>
  </si>
  <si>
    <t>667ERJ6GEYJ221V</t>
  </si>
  <si>
    <t>667ERJ6GEYJ101V</t>
  </si>
  <si>
    <t>538901200160</t>
  </si>
  <si>
    <t>667ERJ6ENF1004V</t>
  </si>
  <si>
    <t>612FS573PLT2B2M2QE</t>
  </si>
  <si>
    <t>Newark</t>
  </si>
  <si>
    <t>77C5351</t>
  </si>
  <si>
    <t>25M8791</t>
  </si>
  <si>
    <t>94M5641</t>
  </si>
  <si>
    <t>66W8712</t>
  </si>
  <si>
    <t>70K9138</t>
  </si>
  <si>
    <t>96K9198</t>
  </si>
  <si>
    <t>26AC5858</t>
  </si>
  <si>
    <t>16M2062</t>
  </si>
  <si>
    <t>26AJ8859</t>
  </si>
  <si>
    <t>02AH0620</t>
  </si>
  <si>
    <t>31Y5841</t>
  </si>
  <si>
    <t>62W8939</t>
  </si>
  <si>
    <t>85Y9308</t>
  </si>
  <si>
    <t>53W8524</t>
  </si>
  <si>
    <t>63W1313</t>
  </si>
  <si>
    <t>85Y9481</t>
  </si>
  <si>
    <t>63W1291</t>
  </si>
  <si>
    <t>65T8777</t>
  </si>
  <si>
    <t>01AH8815</t>
  </si>
  <si>
    <t>64R5372</t>
  </si>
  <si>
    <t>18AC1549</t>
  </si>
  <si>
    <t>RS Components</t>
  </si>
  <si>
    <t>4515770</t>
  </si>
  <si>
    <t>8029927</t>
  </si>
  <si>
    <t>6911183</t>
  </si>
  <si>
    <t>6480979</t>
  </si>
  <si>
    <t>8029850</t>
  </si>
  <si>
    <t>2286767</t>
  </si>
  <si>
    <t>8051078</t>
  </si>
  <si>
    <t>565964</t>
  </si>
  <si>
    <t>7326539</t>
  </si>
  <si>
    <t>7326680</t>
  </si>
  <si>
    <t>7326605</t>
  </si>
  <si>
    <t>7326526</t>
  </si>
  <si>
    <t>6705079</t>
  </si>
  <si>
    <t>7326043</t>
  </si>
  <si>
    <t>TME</t>
  </si>
  <si>
    <t>C0805C105K4RAC</t>
  </si>
  <si>
    <t>C0805C224K5RAC</t>
  </si>
  <si>
    <t>C0805C104K3RAC</t>
  </si>
  <si>
    <t>C0805C106K8PAC</t>
  </si>
  <si>
    <t>1N914ONS</t>
  </si>
  <si>
    <t>HLMPDB25B0000</t>
  </si>
  <si>
    <t>MX901200160</t>
  </si>
  <si>
    <t>Total Purchase:</t>
  </si>
  <si>
    <t>Purchase description:</t>
  </si>
  <si>
    <t>Used currency rates:</t>
  </si>
  <si>
    <t>USD($)/GBP(£):</t>
  </si>
  <si>
    <t>Prj:</t>
  </si>
  <si>
    <t>Screaming Panda Guitar Pedal</t>
  </si>
  <si>
    <t>Co.:</t>
  </si>
  <si>
    <t>John McAvoy</t>
  </si>
  <si>
    <t>Prj date:</t>
  </si>
  <si>
    <t>Sun 15 Aug 2021 03:44:52 PM PDT</t>
  </si>
  <si>
    <t>Board Qty:</t>
  </si>
  <si>
    <t>Total Cost:</t>
  </si>
  <si>
    <t>Unit Cost:</t>
  </si>
  <si>
    <t>$ date:</t>
  </si>
  <si>
    <t>2021-08-15 16:02:12</t>
  </si>
  <si>
    <t>KiCost® v1.1.5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</si>
</sst>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heet.octopart.com/GRM21B5C1H203JA01L-Murata-datasheet-14402255.pdf" TargetMode="External"/><Relationship Id="rId2" Type="http://schemas.openxmlformats.org/officeDocument/2006/relationships/hyperlink" Target="https://octopart.com/click/track?c=1&amp;ai=8078&amp;sig=005bf79&amp;sid=1106&amp;ppid=17749162&amp;vpid=485851231&amp;ct=offers" TargetMode="External"/><Relationship Id="rId3" Type="http://schemas.openxmlformats.org/officeDocument/2006/relationships/hyperlink" Target="https://octopart.com/click/track?ai=8078&amp;sig=07ee702&amp;sid=459&amp;ppid=17749162&amp;vpid=88253402&amp;ct=offers" TargetMode="External"/><Relationship Id="rId4" Type="http://schemas.openxmlformats.org/officeDocument/2006/relationships/hyperlink" Target="https://octopart.com/click/track?c=1&amp;ai=8078&amp;sig=0e114f7&amp;sid=819&amp;ppid=17749162&amp;vpid=757047914&amp;ct=offers" TargetMode="External"/><Relationship Id="rId5" Type="http://schemas.openxmlformats.org/officeDocument/2006/relationships/hyperlink" Target="https://octopart.com/click/track?ai=8078&amp;sig=0179c01&amp;sid=2401&amp;ppid=17749162&amp;vpid=82053022&amp;ct=offers" TargetMode="External"/><Relationship Id="rId6" Type="http://schemas.openxmlformats.org/officeDocument/2006/relationships/hyperlink" Target="https://datasheet.octopart.com/C0805C105K4RACTU-KEMET-datasheet-149523919.pdf" TargetMode="External"/><Relationship Id="rId7" Type="http://schemas.openxmlformats.org/officeDocument/2006/relationships/hyperlink" Target="https://octopart.com/click/track?ai=8078&amp;sig=0581bc1&amp;sid=1106&amp;ppid=128914&amp;vpid=476782736&amp;ct=offers" TargetMode="External"/><Relationship Id="rId8" Type="http://schemas.openxmlformats.org/officeDocument/2006/relationships/hyperlink" Target="https://octopart.com/click/track?c=1&amp;ai=8078&amp;sig=0766ff1&amp;sid=459&amp;ppid=128914&amp;vpid=1663204&amp;ct=offers" TargetMode="External"/><Relationship Id="rId9" Type="http://schemas.openxmlformats.org/officeDocument/2006/relationships/hyperlink" Target="https://octopart.com/click/track?ai=8078&amp;sig=03e0672&amp;sid=819&amp;ppid=128914&amp;vpid=138967342&amp;ct=offers" TargetMode="External"/><Relationship Id="rId10" Type="http://schemas.openxmlformats.org/officeDocument/2006/relationships/hyperlink" Target="https://octopart.com/click/track?ai=8078&amp;sig=0cd543c&amp;sid=2401&amp;ppid=128914&amp;vpid=44736974&amp;ct=offers" TargetMode="External"/><Relationship Id="rId11" Type="http://schemas.openxmlformats.org/officeDocument/2006/relationships/hyperlink" Target="https://octopart.com/click/track?ai=8078&amp;sig=0b87230&amp;sid=2402&amp;ppid=128914&amp;vpid=16452620&amp;ct=offers" TargetMode="External"/><Relationship Id="rId12" Type="http://schemas.openxmlformats.org/officeDocument/2006/relationships/hyperlink" Target="https://octopart.com/click/track?ai=8078&amp;sig=06556ab&amp;sid=10022&amp;ppid=128914&amp;vpid=199040060&amp;ct=offers" TargetMode="External"/><Relationship Id="rId13" Type="http://schemas.openxmlformats.org/officeDocument/2006/relationships/hyperlink" Target="https://octopart.com/click/track?ai=8078&amp;sig=0f2f01a&amp;sid=1532&amp;ppid=128914&amp;vpid=709038308&amp;ct=offers" TargetMode="External"/><Relationship Id="rId14" Type="http://schemas.openxmlformats.org/officeDocument/2006/relationships/hyperlink" Target="https://datasheet.octopart.com/0805Y0500103KXT-Syfer-datasheet-8612536.pdf" TargetMode="External"/><Relationship Id="rId15" Type="http://schemas.openxmlformats.org/officeDocument/2006/relationships/hyperlink" Target="https://octopart.com/click/track?c=1&amp;ai=8078&amp;sig=0b42b71&amp;sid=459&amp;ppid=13250832&amp;vpid=241065344&amp;ct=offers" TargetMode="External"/><Relationship Id="rId16" Type="http://schemas.openxmlformats.org/officeDocument/2006/relationships/hyperlink" Target="https://datasheet.octopart.com/C0805C224K5RACTU-Kemet-datasheet-5313890.pdf" TargetMode="External"/><Relationship Id="rId17" Type="http://schemas.openxmlformats.org/officeDocument/2006/relationships/hyperlink" Target="https://octopart.com/click/track?ai=8078&amp;sig=0611e49&amp;sid=1106&amp;ppid=144670&amp;vpid=476782756&amp;ct=offers" TargetMode="External"/><Relationship Id="rId18" Type="http://schemas.openxmlformats.org/officeDocument/2006/relationships/hyperlink" Target="https://octopart.com/click/track?c=1&amp;ai=8078&amp;sig=07ef62a&amp;sid=459&amp;ppid=144670&amp;vpid=1265438&amp;ct=offers" TargetMode="External"/><Relationship Id="rId19" Type="http://schemas.openxmlformats.org/officeDocument/2006/relationships/hyperlink" Target="https://octopart.com/click/track?ai=8078&amp;sig=0252b5d&amp;sid=819&amp;ppid=144670&amp;vpid=138967591&amp;ct=offers" TargetMode="External"/><Relationship Id="rId20" Type="http://schemas.openxmlformats.org/officeDocument/2006/relationships/hyperlink" Target="https://octopart.com/click/track?ai=8078&amp;sig=0d625a5&amp;sid=27971&amp;ppid=144670&amp;vpid=460338265&amp;ct=offers" TargetMode="External"/><Relationship Id="rId21" Type="http://schemas.openxmlformats.org/officeDocument/2006/relationships/hyperlink" Target="https://octopart.com/click/track?ai=8078&amp;sig=0dac62e&amp;sid=2401&amp;ppid=144670&amp;vpid=44736984&amp;ct=offers" TargetMode="External"/><Relationship Id="rId22" Type="http://schemas.openxmlformats.org/officeDocument/2006/relationships/hyperlink" Target="https://octopart.com/click/track?ai=8078&amp;sig=041e366&amp;sid=2402&amp;ppid=144670&amp;vpid=268464291&amp;ct=offers" TargetMode="External"/><Relationship Id="rId23" Type="http://schemas.openxmlformats.org/officeDocument/2006/relationships/hyperlink" Target="https://octopart.com/click/track?ai=8078&amp;sig=0579f1a&amp;sid=10022&amp;ppid=144670&amp;vpid=199040093&amp;ct=offers" TargetMode="External"/><Relationship Id="rId24" Type="http://schemas.openxmlformats.org/officeDocument/2006/relationships/hyperlink" Target="https://octopart.com/click/track?ai=8078&amp;sig=058678d&amp;sid=1532&amp;ppid=144670&amp;vpid=709038417&amp;ct=offers" TargetMode="External"/><Relationship Id="rId25" Type="http://schemas.openxmlformats.org/officeDocument/2006/relationships/hyperlink" Target="https://datasheet.octopart.com/C0805C476M9PACTU-KEMET-datasheet-149524433.pdf" TargetMode="External"/><Relationship Id="rId26" Type="http://schemas.openxmlformats.org/officeDocument/2006/relationships/hyperlink" Target="https://octopart.com/click/track?c=1&amp;ai=8078&amp;sig=0662736&amp;sid=1106&amp;ppid=9145076&amp;vpid=473250080&amp;ct=offers" TargetMode="External"/><Relationship Id="rId27" Type="http://schemas.openxmlformats.org/officeDocument/2006/relationships/hyperlink" Target="https://octopart.com/click/track?c=1&amp;ai=8078&amp;sig=09d6e01&amp;sid=459&amp;ppid=9145076&amp;vpid=34046112&amp;ct=offers" TargetMode="External"/><Relationship Id="rId28" Type="http://schemas.openxmlformats.org/officeDocument/2006/relationships/hyperlink" Target="https://octopart.com/click/track?ai=8078&amp;sig=0d0f414&amp;sid=11744&amp;ppid=9145076&amp;vpid=133110222&amp;ct=offers" TargetMode="External"/><Relationship Id="rId29" Type="http://schemas.openxmlformats.org/officeDocument/2006/relationships/hyperlink" Target="https://octopart.com/click/track?ai=8078&amp;sig=0bf7991&amp;sid=2401&amp;ppid=9145076&amp;vpid=37778741&amp;ct=offers" TargetMode="External"/><Relationship Id="rId30" Type="http://schemas.openxmlformats.org/officeDocument/2006/relationships/hyperlink" Target="https://octopart.com/click/track?c=1&amp;ai=8078&amp;sig=06b4f4f&amp;sid=2402&amp;ppid=9145076&amp;vpid=16453217&amp;ct=offers" TargetMode="External"/><Relationship Id="rId31" Type="http://schemas.openxmlformats.org/officeDocument/2006/relationships/hyperlink" Target="https://octopart.com/click/track?ai=8078&amp;sig=0968645&amp;sid=10022&amp;ppid=9145076&amp;vpid=199040129&amp;ct=offers" TargetMode="External"/><Relationship Id="rId32" Type="http://schemas.openxmlformats.org/officeDocument/2006/relationships/hyperlink" Target="https://datasheet.octopart.com/C0805C104K3RAC-TU-Kemet-datasheet-5313890.pdf" TargetMode="External"/><Relationship Id="rId33" Type="http://schemas.openxmlformats.org/officeDocument/2006/relationships/hyperlink" Target="https://octopart.com/click/track?ai=8078&amp;sig=0f8bb93&amp;sid=1106&amp;ppid=136827&amp;vpid=564293582&amp;ct=offers" TargetMode="External"/><Relationship Id="rId34" Type="http://schemas.openxmlformats.org/officeDocument/2006/relationships/hyperlink" Target="https://octopart.com/click/track?c=1&amp;ai=8078&amp;sig=0b1e043&amp;sid=459&amp;ppid=136827&amp;vpid=1043869&amp;ct=offers" TargetMode="External"/><Relationship Id="rId35" Type="http://schemas.openxmlformats.org/officeDocument/2006/relationships/hyperlink" Target="https://octopart.com/click/track?ai=8078&amp;sig=0ef1f1f&amp;sid=11744&amp;ppid=136827&amp;vpid=132343522&amp;ct=offers" TargetMode="External"/><Relationship Id="rId36" Type="http://schemas.openxmlformats.org/officeDocument/2006/relationships/hyperlink" Target="https://octopart.com/click/track?ai=8078&amp;sig=06ed2fe&amp;sid=2401&amp;ppid=136827&amp;vpid=44736962&amp;ct=offers" TargetMode="External"/><Relationship Id="rId37" Type="http://schemas.openxmlformats.org/officeDocument/2006/relationships/hyperlink" Target="https://octopart.com/click/track?ai=8078&amp;sig=0ab8be7&amp;sid=2402&amp;ppid=136827&amp;vpid=250203720&amp;ct=offers" TargetMode="External"/><Relationship Id="rId38" Type="http://schemas.openxmlformats.org/officeDocument/2006/relationships/hyperlink" Target="https://octopart.com/click/track?ai=8078&amp;sig=0b8ef23&amp;sid=10022&amp;ppid=136827&amp;vpid=199040053&amp;ct=offers" TargetMode="External"/><Relationship Id="rId39" Type="http://schemas.openxmlformats.org/officeDocument/2006/relationships/hyperlink" Target="https://octopart.com/click/track?ai=8078&amp;sig=0e1fe20&amp;sid=1532&amp;ppid=136827&amp;vpid=709038285&amp;ct=offers" TargetMode="External"/><Relationship Id="rId40" Type="http://schemas.openxmlformats.org/officeDocument/2006/relationships/hyperlink" Target="https://datasheet.octopart.com/C0805C106K8PACTU-KEMET-datasheet-149523945.pdf" TargetMode="External"/><Relationship Id="rId41" Type="http://schemas.openxmlformats.org/officeDocument/2006/relationships/hyperlink" Target="https://octopart.com/click/track?ai=8078&amp;sig=0c50ef2&amp;sid=1106&amp;ppid=98697&amp;vpid=550786384&amp;ct=offers" TargetMode="External"/><Relationship Id="rId42" Type="http://schemas.openxmlformats.org/officeDocument/2006/relationships/hyperlink" Target="https://octopart.com/click/track?c=1&amp;ai=8078&amp;sig=026adf1&amp;sid=459&amp;ppid=98697&amp;vpid=1358410&amp;ct=offers" TargetMode="External"/><Relationship Id="rId43" Type="http://schemas.openxmlformats.org/officeDocument/2006/relationships/hyperlink" Target="https://octopart.com/click/track?ai=8078&amp;sig=0c7c606&amp;sid=11744&amp;ppid=98697&amp;vpid=133110121&amp;ct=offers" TargetMode="External"/><Relationship Id="rId44" Type="http://schemas.openxmlformats.org/officeDocument/2006/relationships/hyperlink" Target="https://octopart.com/click/track?ai=8078&amp;sig=0a6de18&amp;sid=2401&amp;ppid=98697&amp;vpid=44736977&amp;ct=offers" TargetMode="External"/><Relationship Id="rId45" Type="http://schemas.openxmlformats.org/officeDocument/2006/relationships/hyperlink" Target="https://octopart.com/click/track?ai=8078&amp;sig=095a38f&amp;sid=2402&amp;ppid=98697&amp;vpid=16452453&amp;ct=offers" TargetMode="External"/><Relationship Id="rId46" Type="http://schemas.openxmlformats.org/officeDocument/2006/relationships/hyperlink" Target="https://octopart.com/click/track?ai=8078&amp;sig=03a5886&amp;sid=10022&amp;ppid=98697&amp;vpid=199040066&amp;ct=offers" TargetMode="External"/><Relationship Id="rId47" Type="http://schemas.openxmlformats.org/officeDocument/2006/relationships/hyperlink" Target="https://octopart.com/click/track?ai=8078&amp;sig=03c51ee&amp;sid=1532&amp;ppid=98697&amp;vpid=709038319&amp;ct=offers" TargetMode="External"/><Relationship Id="rId48" Type="http://schemas.openxmlformats.org/officeDocument/2006/relationships/hyperlink" Target="https://datasheet.octopart.com/ECA-1VM101-Panasonic-datasheet-68071800.pdf" TargetMode="External"/><Relationship Id="rId49" Type="http://schemas.openxmlformats.org/officeDocument/2006/relationships/hyperlink" Target="https://octopart.com/click/track?ai=8078&amp;sig=09b3d6e&amp;sid=1106&amp;ppid=209038&amp;vpid=625322013&amp;ct=offers" TargetMode="External"/><Relationship Id="rId50" Type="http://schemas.openxmlformats.org/officeDocument/2006/relationships/hyperlink" Target="https://octopart.com/click/track?ai=8078&amp;sig=097c430&amp;sid=459&amp;ppid=209038&amp;vpid=188054377&amp;ct=offers" TargetMode="External"/><Relationship Id="rId51" Type="http://schemas.openxmlformats.org/officeDocument/2006/relationships/hyperlink" Target="https://octopart.com/click/track?ai=8078&amp;sig=0840343&amp;sid=819&amp;ppid=209038&amp;vpid=709517466&amp;ct=offers" TargetMode="External"/><Relationship Id="rId52" Type="http://schemas.openxmlformats.org/officeDocument/2006/relationships/hyperlink" Target="https://octopart.com/click/track?ai=8078&amp;sig=083be91&amp;sid=2401&amp;ppid=209038&amp;vpid=187835145&amp;ct=offers" TargetMode="External"/><Relationship Id="rId53" Type="http://schemas.openxmlformats.org/officeDocument/2006/relationships/hyperlink" Target="https://octopart.com/click/track?c=1&amp;ai=8078&amp;sig=016f200&amp;sid=2402&amp;ppid=209038&amp;vpid=190848791&amp;ct=offers" TargetMode="External"/><Relationship Id="rId54" Type="http://schemas.openxmlformats.org/officeDocument/2006/relationships/hyperlink" Target="https://octopart.com/click/track?ai=8078&amp;sig=007af5f&amp;sid=10022&amp;ppid=209038&amp;vpid=199096195&amp;ct=offers" TargetMode="External"/><Relationship Id="rId55" Type="http://schemas.openxmlformats.org/officeDocument/2006/relationships/hyperlink" Target="https://octopart.com/click/track?ai=8078&amp;sig=0713b79&amp;sid=1532&amp;ppid=209038&amp;vpid=709128342&amp;ct=offers" TargetMode="External"/><Relationship Id="rId56" Type="http://schemas.openxmlformats.org/officeDocument/2006/relationships/hyperlink" Target="https://datasheet.octopart.com/1N914-ON-Semiconductor-datasheet-42765246.pdf" TargetMode="External"/><Relationship Id="rId57" Type="http://schemas.openxmlformats.org/officeDocument/2006/relationships/hyperlink" Target="https://octopart.com/click/track?ai=8078&amp;sig=0b68c27&amp;sid=1106&amp;ppid=84323160&amp;vpid=485896432&amp;ct=offers" TargetMode="External"/><Relationship Id="rId58" Type="http://schemas.openxmlformats.org/officeDocument/2006/relationships/hyperlink" Target="https://octopart.com/click/track?ai=8078&amp;sig=064aef2&amp;sid=459&amp;ppid=84323160&amp;vpid=452456919&amp;ct=offers" TargetMode="External"/><Relationship Id="rId59" Type="http://schemas.openxmlformats.org/officeDocument/2006/relationships/hyperlink" Target="https://octopart.com/click/track?ai=8078&amp;sig=0b5afaf&amp;sid=819&amp;ppid=84323160&amp;vpid=440251431&amp;ct=offers" TargetMode="External"/><Relationship Id="rId60" Type="http://schemas.openxmlformats.org/officeDocument/2006/relationships/hyperlink" Target="https://octopart.com/click/track?ai=8078&amp;sig=0f6afa8&amp;sid=2401&amp;ppid=84323160&amp;vpid=438579435&amp;ct=offers" TargetMode="External"/><Relationship Id="rId61" Type="http://schemas.openxmlformats.org/officeDocument/2006/relationships/hyperlink" Target="https://octopart.com/click/track?ai=8078&amp;sig=0f2eaf5&amp;sid=2402&amp;ppid=84323160&amp;vpid=629217025&amp;ct=offers" TargetMode="External"/><Relationship Id="rId62" Type="http://schemas.openxmlformats.org/officeDocument/2006/relationships/hyperlink" Target="https://octopart.com/click/track?ai=8078&amp;sig=0ec8422&amp;sid=1532&amp;ppid=84323160&amp;vpid=709117650&amp;ct=offers" TargetMode="External"/><Relationship Id="rId63" Type="http://schemas.openxmlformats.org/officeDocument/2006/relationships/hyperlink" Target="https://datasheet.octopart.com/HLMP-DB25-B0000-Broadcom-datasheet-65931945.pdf" TargetMode="External"/><Relationship Id="rId64" Type="http://schemas.openxmlformats.org/officeDocument/2006/relationships/hyperlink" Target="https://octopart.com/click/track?ai=8078&amp;sig=01fe981&amp;sid=459&amp;ppid=71130695&amp;vpid=252146109&amp;ct=offers" TargetMode="External"/><Relationship Id="rId65" Type="http://schemas.openxmlformats.org/officeDocument/2006/relationships/hyperlink" Target="https://octopart.com/click/track?ai=8078&amp;sig=0b63e56&amp;sid=819&amp;ppid=71130695&amp;vpid=255897118&amp;ct=offers" TargetMode="External"/><Relationship Id="rId66" Type="http://schemas.openxmlformats.org/officeDocument/2006/relationships/hyperlink" Target="https://octopart.com/click/track?ai=8078&amp;sig=058da70&amp;sid=2401&amp;ppid=71130695&amp;vpid=254907983&amp;ct=offers" TargetMode="External"/><Relationship Id="rId67" Type="http://schemas.openxmlformats.org/officeDocument/2006/relationships/hyperlink" Target="https://octopart.com/click/track?ai=8078&amp;sig=06bf8d3&amp;sid=2402&amp;ppid=71130695&amp;vpid=262612837&amp;ct=offers" TargetMode="External"/><Relationship Id="rId68" Type="http://schemas.openxmlformats.org/officeDocument/2006/relationships/hyperlink" Target="https://octopart.com/click/track?ai=8078&amp;sig=03c7d24&amp;sid=1532&amp;ppid=71130695&amp;vpid=707818877&amp;ct=offers" TargetMode="External"/><Relationship Id="rId69" Type="http://schemas.openxmlformats.org/officeDocument/2006/relationships/hyperlink" Target="http://www.ti.com/lit/ds/symlink/rc4558.pdf" TargetMode="External"/><Relationship Id="rId70" Type="http://schemas.openxmlformats.org/officeDocument/2006/relationships/hyperlink" Target="https://octopart.com/click/track?c=1&amp;ai=8078&amp;sig=0cc9578&amp;sid=1106&amp;ppid=34634&amp;vpid=507583635&amp;ct=offers" TargetMode="External"/><Relationship Id="rId71" Type="http://schemas.openxmlformats.org/officeDocument/2006/relationships/hyperlink" Target="https://octopart.com/click/track?ai=8078&amp;sig=0b9bad3&amp;sid=459&amp;ppid=34634&amp;vpid=1285119&amp;ct=offers" TargetMode="External"/><Relationship Id="rId72" Type="http://schemas.openxmlformats.org/officeDocument/2006/relationships/hyperlink" Target="https://octopart.com/click/track?ai=8078&amp;sig=0b697b1&amp;sid=11744&amp;ppid=34634&amp;vpid=698226068&amp;ct=offers" TargetMode="External"/><Relationship Id="rId73" Type="http://schemas.openxmlformats.org/officeDocument/2006/relationships/hyperlink" Target="https://octopart.com/click/track?ai=8078&amp;sig=024a102&amp;sid=2401&amp;ppid=34634&amp;vpid=37662857&amp;ct=offers" TargetMode="External"/><Relationship Id="rId74" Type="http://schemas.openxmlformats.org/officeDocument/2006/relationships/hyperlink" Target="https://octopart.com/click/track?ai=8078&amp;sig=0720d07&amp;sid=2402&amp;ppid=34634&amp;vpid=702462570&amp;ct=offers" TargetMode="External"/><Relationship Id="rId75" Type="http://schemas.openxmlformats.org/officeDocument/2006/relationships/hyperlink" Target="https://octopart.com/click/track?ai=8078&amp;sig=07902b9&amp;sid=1532&amp;ppid=34634&amp;vpid=709228362&amp;ct=offers" TargetMode="External"/><Relationship Id="rId76" Type="http://schemas.openxmlformats.org/officeDocument/2006/relationships/hyperlink" Target="http://www.amphenolaudio.com/wp-content/uploads/2015/07/TD_m-jack.pdf" TargetMode="External"/><Relationship Id="rId77" Type="http://schemas.openxmlformats.org/officeDocument/2006/relationships/hyperlink" Target="https://octopart.com/click/track?c=1&amp;ai=8078&amp;sig=02530ef&amp;sid=1106&amp;ppid=73099109&amp;vpid=631078090&amp;ct=offers" TargetMode="External"/><Relationship Id="rId78" Type="http://schemas.openxmlformats.org/officeDocument/2006/relationships/hyperlink" Target="https://octopart.com/click/track?c=1&amp;ai=8078&amp;sig=07299ce&amp;sid=459&amp;ppid=73099109&amp;vpid=583512154&amp;ct=offers" TargetMode="External"/><Relationship Id="rId79" Type="http://schemas.openxmlformats.org/officeDocument/2006/relationships/hyperlink" Target="https://octopart.com/click/track?ai=8078&amp;sig=0e7e999&amp;sid=2401&amp;ppid=73099109&amp;vpid=40866979&amp;ct=offers" TargetMode="External"/><Relationship Id="rId80" Type="http://schemas.openxmlformats.org/officeDocument/2006/relationships/hyperlink" Target="https://octopart.com/click/track?c=1&amp;ai=8078&amp;sig=053b74d&amp;sid=2402&amp;ppid=73099109&amp;vpid=547437614&amp;ct=offers" TargetMode="External"/><Relationship Id="rId81" Type="http://schemas.openxmlformats.org/officeDocument/2006/relationships/hyperlink" Target="https://octopart.com/click/track?ai=8078&amp;sig=020afc4&amp;sid=1532&amp;ppid=73099109&amp;vpid=707768807&amp;ct=offers" TargetMode="External"/><Relationship Id="rId82" Type="http://schemas.openxmlformats.org/officeDocument/2006/relationships/hyperlink" Target="https://www.cui.com/product/resource/digikeypdf/pj-102a.pdf" TargetMode="External"/><Relationship Id="rId83" Type="http://schemas.openxmlformats.org/officeDocument/2006/relationships/hyperlink" Target="https://datasheet.octopart.com/2N4401TF-ON-Semiconductor-datasheet-98150806.pdf" TargetMode="External"/><Relationship Id="rId84" Type="http://schemas.openxmlformats.org/officeDocument/2006/relationships/hyperlink" Target="https://octopart.com/click/track?c=1&amp;ai=8078&amp;sig=0923411&amp;sid=1106&amp;ppid=84408871&amp;vpid=658692177&amp;ct=offers" TargetMode="External"/><Relationship Id="rId85" Type="http://schemas.openxmlformats.org/officeDocument/2006/relationships/hyperlink" Target="https://octopart.com/click/track?ai=8078&amp;sig=0a34223&amp;sid=459&amp;ppid=84408871&amp;vpid=452457113&amp;ct=offers" TargetMode="External"/><Relationship Id="rId86" Type="http://schemas.openxmlformats.org/officeDocument/2006/relationships/hyperlink" Target="https://octopart.com/click/track?ai=8078&amp;sig=00b650d&amp;sid=11744&amp;ppid=84408871&amp;vpid=440098809&amp;ct=offers" TargetMode="External"/><Relationship Id="rId87" Type="http://schemas.openxmlformats.org/officeDocument/2006/relationships/hyperlink" Target="https://octopart.com/click/track?c=1&amp;ai=8078&amp;sig=0ba3b0c&amp;sid=2401&amp;ppid=84408871&amp;vpid=438579539&amp;ct=offers" TargetMode="External"/><Relationship Id="rId88" Type="http://schemas.openxmlformats.org/officeDocument/2006/relationships/hyperlink" Target="https://octopart.com/click/track?ai=8078&amp;sig=0d03b26&amp;sid=2402&amp;ppid=84408871&amp;vpid=439855191&amp;ct=offers" TargetMode="External"/><Relationship Id="rId89" Type="http://schemas.openxmlformats.org/officeDocument/2006/relationships/hyperlink" Target="https://octopart.com/click/track?ai=8078&amp;sig=052b7a3&amp;sid=10022&amp;ppid=84408871&amp;vpid=454557786&amp;ct=offers" TargetMode="External"/><Relationship Id="rId90" Type="http://schemas.openxmlformats.org/officeDocument/2006/relationships/hyperlink" Target="https://datasheet.octopart.com/ERA6AEB102V-Panasonic-datasheet-62287448.pdf" TargetMode="External"/><Relationship Id="rId91" Type="http://schemas.openxmlformats.org/officeDocument/2006/relationships/hyperlink" Target="https://octopart.com/click/track?c=1&amp;ai=8078&amp;sig=0b9fa1b&amp;sid=1106&amp;ppid=55396929&amp;vpid=485937933&amp;ct=offers" TargetMode="External"/><Relationship Id="rId92" Type="http://schemas.openxmlformats.org/officeDocument/2006/relationships/hyperlink" Target="https://octopart.com/click/track?ai=8078&amp;sig=0d888fc&amp;sid=459&amp;ppid=55396929&amp;vpid=118268742&amp;ct=offers" TargetMode="External"/><Relationship Id="rId93" Type="http://schemas.openxmlformats.org/officeDocument/2006/relationships/hyperlink" Target="https://octopart.com/click/track?ai=8078&amp;sig=088698c&amp;sid=11744&amp;ppid=55396929&amp;vpid=187367009&amp;ct=offers" TargetMode="External"/><Relationship Id="rId94" Type="http://schemas.openxmlformats.org/officeDocument/2006/relationships/hyperlink" Target="https://octopart.com/click/track?ai=8078&amp;sig=0f545ab&amp;sid=27971&amp;ppid=55396929&amp;vpid=530580230&amp;ct=offers" TargetMode="External"/><Relationship Id="rId95" Type="http://schemas.openxmlformats.org/officeDocument/2006/relationships/hyperlink" Target="https://octopart.com/click/track?ai=8078&amp;sig=026dd44&amp;sid=2401&amp;ppid=55396929&amp;vpid=116511392&amp;ct=offers" TargetMode="External"/><Relationship Id="rId96" Type="http://schemas.openxmlformats.org/officeDocument/2006/relationships/hyperlink" Target="https://octopart.com/click/track?c=1&amp;ai=8078&amp;sig=060a38f&amp;sid=2402&amp;ppid=55396929&amp;vpid=271850615&amp;ct=offers" TargetMode="External"/><Relationship Id="rId97" Type="http://schemas.openxmlformats.org/officeDocument/2006/relationships/hyperlink" Target="https://octopart.com/click/track?ai=8078&amp;sig=0afd165&amp;sid=10022&amp;ppid=55396929&amp;vpid=199100215&amp;ct=offers" TargetMode="External"/><Relationship Id="rId98" Type="http://schemas.openxmlformats.org/officeDocument/2006/relationships/hyperlink" Target="https://octopart.com/click/track?ai=8078&amp;sig=0c2df4c&amp;sid=1532&amp;ppid=55396929&amp;vpid=709130527&amp;ct=offers" TargetMode="External"/><Relationship Id="rId99" Type="http://schemas.openxmlformats.org/officeDocument/2006/relationships/hyperlink" Target="https://datasheet.octopart.com/ERJ-6ENF5103V-Panasonic-datasheet-13266541.pdf" TargetMode="External"/><Relationship Id="rId100" Type="http://schemas.openxmlformats.org/officeDocument/2006/relationships/hyperlink" Target="https://octopart.com/click/track?ai=8078&amp;sig=0bbc025&amp;sid=1106&amp;ppid=55422724&amp;vpid=473401710&amp;ct=offers" TargetMode="External"/><Relationship Id="rId101" Type="http://schemas.openxmlformats.org/officeDocument/2006/relationships/hyperlink" Target="https://octopart.com/click/track?ai=8078&amp;sig=0f39919&amp;sid=459&amp;ppid=55422724&amp;vpid=188063259&amp;ct=offers" TargetMode="External"/><Relationship Id="rId102" Type="http://schemas.openxmlformats.org/officeDocument/2006/relationships/hyperlink" Target="https://octopart.com/click/track?ai=8078&amp;sig=06027a0&amp;sid=11744&amp;ppid=55422724&amp;vpid=170332808&amp;ct=offers" TargetMode="External"/><Relationship Id="rId103" Type="http://schemas.openxmlformats.org/officeDocument/2006/relationships/hyperlink" Target="https://octopart.com/click/track?ai=8078&amp;sig=03b53e3&amp;sid=27971&amp;ppid=55422724&amp;vpid=592590627&amp;ct=offers" TargetMode="External"/><Relationship Id="rId104" Type="http://schemas.openxmlformats.org/officeDocument/2006/relationships/hyperlink" Target="https://octopart.com/click/track?ai=8078&amp;sig=094869a&amp;sid=2401&amp;ppid=55422724&amp;vpid=190905988&amp;ct=offers" TargetMode="External"/><Relationship Id="rId105" Type="http://schemas.openxmlformats.org/officeDocument/2006/relationships/hyperlink" Target="https://octopart.com/click/track?ai=8078&amp;sig=0ef66a5&amp;sid=2402&amp;ppid=55422724&amp;vpid=423915721&amp;ct=offers" TargetMode="External"/><Relationship Id="rId106" Type="http://schemas.openxmlformats.org/officeDocument/2006/relationships/hyperlink" Target="https://datasheet.octopart.com/ERJ-6GEYJ103V-Panasonic-datasheet-13266872.pdf" TargetMode="External"/><Relationship Id="rId107" Type="http://schemas.openxmlformats.org/officeDocument/2006/relationships/hyperlink" Target="https://octopart.com/click/track?c=1&amp;ai=8078&amp;sig=0dba54d&amp;sid=1106&amp;ppid=55422885&amp;vpid=525132612&amp;ct=offers" TargetMode="External"/><Relationship Id="rId108" Type="http://schemas.openxmlformats.org/officeDocument/2006/relationships/hyperlink" Target="https://octopart.com/click/track?ai=8078&amp;sig=02834b9&amp;sid=459&amp;ppid=55422885&amp;vpid=188063629&amp;ct=offers" TargetMode="External"/><Relationship Id="rId109" Type="http://schemas.openxmlformats.org/officeDocument/2006/relationships/hyperlink" Target="https://octopart.com/click/track?ai=8078&amp;sig=071c380&amp;sid=819&amp;ppid=55422885&amp;vpid=139326319&amp;ct=offers" TargetMode="External"/><Relationship Id="rId110" Type="http://schemas.openxmlformats.org/officeDocument/2006/relationships/hyperlink" Target="https://octopart.com/click/track?ai=8078&amp;sig=03f5357&amp;sid=27971&amp;ppid=55422885&amp;vpid=486840292&amp;ct=offers" TargetMode="External"/><Relationship Id="rId111" Type="http://schemas.openxmlformats.org/officeDocument/2006/relationships/hyperlink" Target="https://octopart.com/click/track?ai=8078&amp;sig=08386b4&amp;sid=2401&amp;ppid=55422885&amp;vpid=187841063&amp;ct=offers" TargetMode="External"/><Relationship Id="rId112" Type="http://schemas.openxmlformats.org/officeDocument/2006/relationships/hyperlink" Target="https://octopart.com/click/track?ai=8078&amp;sig=0bd34f3&amp;sid=2402&amp;ppid=55422885&amp;vpid=120435549&amp;ct=offers" TargetMode="External"/><Relationship Id="rId113" Type="http://schemas.openxmlformats.org/officeDocument/2006/relationships/hyperlink" Target="https://octopart.com/click/track?ai=8078&amp;sig=0bcb863&amp;sid=10022&amp;ppid=55422885&amp;vpid=199101936&amp;ct=offers" TargetMode="External"/><Relationship Id="rId114" Type="http://schemas.openxmlformats.org/officeDocument/2006/relationships/hyperlink" Target="https://datasheet.octopart.com/ERJ-6GEYJ472V-Panasonic-datasheet-13266872.pdf" TargetMode="External"/><Relationship Id="rId115" Type="http://schemas.openxmlformats.org/officeDocument/2006/relationships/hyperlink" Target="https://octopart.com/click/track?ai=8078&amp;sig=067dea2&amp;sid=1106&amp;ppid=55423009&amp;vpid=473402123&amp;ct=offers" TargetMode="External"/><Relationship Id="rId116" Type="http://schemas.openxmlformats.org/officeDocument/2006/relationships/hyperlink" Target="https://octopart.com/click/track?ai=8078&amp;sig=009318b&amp;sid=459&amp;ppid=55423009&amp;vpid=188063852&amp;ct=offers" TargetMode="External"/><Relationship Id="rId117" Type="http://schemas.openxmlformats.org/officeDocument/2006/relationships/hyperlink" Target="https://octopart.com/click/track?ai=8078&amp;sig=01e2a4a&amp;sid=11744&amp;ppid=55423009&amp;vpid=132582765&amp;ct=offers" TargetMode="External"/><Relationship Id="rId118" Type="http://schemas.openxmlformats.org/officeDocument/2006/relationships/hyperlink" Target="https://octopart.com/click/track?ai=8078&amp;sig=08300f3&amp;sid=27971&amp;ppid=55423009&amp;vpid=486840300&amp;ct=offers" TargetMode="External"/><Relationship Id="rId119" Type="http://schemas.openxmlformats.org/officeDocument/2006/relationships/hyperlink" Target="https://octopart.com/click/track?ai=8078&amp;sig=0af1809&amp;sid=2401&amp;ppid=55423009&amp;vpid=187841160&amp;ct=offers" TargetMode="External"/><Relationship Id="rId120" Type="http://schemas.openxmlformats.org/officeDocument/2006/relationships/hyperlink" Target="https://octopart.com/click/track?ai=8078&amp;sig=04265cf&amp;sid=2402&amp;ppid=55423009&amp;vpid=432964250&amp;ct=offers" TargetMode="External"/><Relationship Id="rId121" Type="http://schemas.openxmlformats.org/officeDocument/2006/relationships/hyperlink" Target="https://octopart.com/click/track?ai=8078&amp;sig=04fac98&amp;sid=10022&amp;ppid=55423009&amp;vpid=204038943&amp;ct=offers" TargetMode="External"/><Relationship Id="rId122" Type="http://schemas.openxmlformats.org/officeDocument/2006/relationships/hyperlink" Target="https://datasheet.octopart.com/ERJ-6GEYJ513V-Panasonic-datasheet-61114972.pdf" TargetMode="External"/><Relationship Id="rId123" Type="http://schemas.openxmlformats.org/officeDocument/2006/relationships/hyperlink" Target="https://octopart.com/click/track?c=1&amp;ai=8078&amp;sig=026ed28&amp;sid=1106&amp;ppid=55423020&amp;vpid=511290712&amp;ct=offers" TargetMode="External"/><Relationship Id="rId124" Type="http://schemas.openxmlformats.org/officeDocument/2006/relationships/hyperlink" Target="https://octopart.com/click/track?ai=8078&amp;sig=05fd6be&amp;sid=459&amp;ppid=55423020&amp;vpid=188063877&amp;ct=offers" TargetMode="External"/><Relationship Id="rId125" Type="http://schemas.openxmlformats.org/officeDocument/2006/relationships/hyperlink" Target="https://octopart.com/click/track?c=1&amp;ai=8078&amp;sig=0901e7e&amp;sid=11744&amp;ppid=55423020&amp;vpid=132582780&amp;ct=offers" TargetMode="External"/><Relationship Id="rId126" Type="http://schemas.openxmlformats.org/officeDocument/2006/relationships/hyperlink" Target="https://octopart.com/click/track?ai=8078&amp;sig=0355f14&amp;sid=27971&amp;ppid=55423020&amp;vpid=486840302&amp;ct=offers" TargetMode="External"/><Relationship Id="rId127" Type="http://schemas.openxmlformats.org/officeDocument/2006/relationships/hyperlink" Target="https://octopart.com/click/track?ai=8078&amp;sig=0460ca2&amp;sid=2401&amp;ppid=55423020&amp;vpid=191303121&amp;ct=offers" TargetMode="External"/><Relationship Id="rId128" Type="http://schemas.openxmlformats.org/officeDocument/2006/relationships/hyperlink" Target="https://octopart.com/click/track?c=1&amp;ai=8078&amp;sig=05e2dc0&amp;sid=2402&amp;ppid=55423020&amp;vpid=520597463&amp;ct=offers" TargetMode="External"/><Relationship Id="rId129" Type="http://schemas.openxmlformats.org/officeDocument/2006/relationships/hyperlink" Target="https://datasheet.octopart.com/ERJ-6GEYJ221V-Panasonic-datasheet-13266872.pdf" TargetMode="External"/><Relationship Id="rId130" Type="http://schemas.openxmlformats.org/officeDocument/2006/relationships/hyperlink" Target="https://octopart.com/click/track?ai=8078&amp;sig=09e8159&amp;sid=1106&amp;ppid=55422950&amp;vpid=712939559&amp;ct=offers" TargetMode="External"/><Relationship Id="rId131" Type="http://schemas.openxmlformats.org/officeDocument/2006/relationships/hyperlink" Target="https://octopart.com/click/track?ai=8078&amp;sig=018cc80&amp;sid=459&amp;ppid=55422950&amp;vpid=188063733&amp;ct=offers" TargetMode="External"/><Relationship Id="rId132" Type="http://schemas.openxmlformats.org/officeDocument/2006/relationships/hyperlink" Target="https://octopart.com/click/track?ai=8078&amp;sig=0a100ac&amp;sid=819&amp;ppid=55422950&amp;vpid=139326564&amp;ct=offers" TargetMode="External"/><Relationship Id="rId133" Type="http://schemas.openxmlformats.org/officeDocument/2006/relationships/hyperlink" Target="https://octopart.com/click/track?ai=8078&amp;sig=098b8e3&amp;sid=27971&amp;ppid=55422950&amp;vpid=592590676&amp;ct=offers" TargetMode="External"/><Relationship Id="rId134" Type="http://schemas.openxmlformats.org/officeDocument/2006/relationships/hyperlink" Target="https://octopart.com/click/track?ai=8078&amp;sig=054f9e3&amp;sid=2401&amp;ppid=55422950&amp;vpid=187841101&amp;ct=offers" TargetMode="External"/><Relationship Id="rId135" Type="http://schemas.openxmlformats.org/officeDocument/2006/relationships/hyperlink" Target="https://octopart.com/click/track?ai=8078&amp;sig=08cc977&amp;sid=2402&amp;ppid=55422950&amp;vpid=432964227&amp;ct=offers" TargetMode="External"/><Relationship Id="rId136" Type="http://schemas.openxmlformats.org/officeDocument/2006/relationships/hyperlink" Target="https://octopart.com/click/track?ai=8078&amp;sig=05ba073&amp;sid=10022&amp;ppid=55422950&amp;vpid=199101955&amp;ct=offers" TargetMode="External"/><Relationship Id="rId137" Type="http://schemas.openxmlformats.org/officeDocument/2006/relationships/hyperlink" Target="https://datasheet.octopart.com/ERJ-6ENF5103V-Panasonic-datasheet-13266541.pdf" TargetMode="External"/><Relationship Id="rId138" Type="http://schemas.openxmlformats.org/officeDocument/2006/relationships/hyperlink" Target="https://octopart.com/click/track?ai=8078&amp;sig=0bbc025&amp;sid=1106&amp;ppid=55422724&amp;vpid=473401710&amp;ct=offers" TargetMode="External"/><Relationship Id="rId139" Type="http://schemas.openxmlformats.org/officeDocument/2006/relationships/hyperlink" Target="https://octopart.com/click/track?ai=8078&amp;sig=0f39919&amp;sid=459&amp;ppid=55422724&amp;vpid=188063259&amp;ct=offers" TargetMode="External"/><Relationship Id="rId140" Type="http://schemas.openxmlformats.org/officeDocument/2006/relationships/hyperlink" Target="https://octopart.com/click/track?ai=8078&amp;sig=06027a0&amp;sid=11744&amp;ppid=55422724&amp;vpid=170332808&amp;ct=offers" TargetMode="External"/><Relationship Id="rId141" Type="http://schemas.openxmlformats.org/officeDocument/2006/relationships/hyperlink" Target="https://octopart.com/click/track?ai=8078&amp;sig=03b53e3&amp;sid=27971&amp;ppid=55422724&amp;vpid=592590627&amp;ct=offers" TargetMode="External"/><Relationship Id="rId142" Type="http://schemas.openxmlformats.org/officeDocument/2006/relationships/hyperlink" Target="https://octopart.com/click/track?ai=8078&amp;sig=094869a&amp;sid=2401&amp;ppid=55422724&amp;vpid=190905988&amp;ct=offers" TargetMode="External"/><Relationship Id="rId143" Type="http://schemas.openxmlformats.org/officeDocument/2006/relationships/hyperlink" Target="https://octopart.com/click/track?ai=8078&amp;sig=0ef66a5&amp;sid=2402&amp;ppid=55422724&amp;vpid=423915721&amp;ct=offers" TargetMode="External"/><Relationship Id="rId144" Type="http://schemas.openxmlformats.org/officeDocument/2006/relationships/hyperlink" Target="https://datasheet.octopart.com/ERJ-6GEYJ101V-Panasonic-datasheet-13266872.pdf" TargetMode="External"/><Relationship Id="rId145" Type="http://schemas.openxmlformats.org/officeDocument/2006/relationships/hyperlink" Target="https://octopart.com/click/track?ai=8078&amp;sig=00c980b&amp;sid=1106&amp;ppid=55422883&amp;vpid=474084087&amp;ct=offers" TargetMode="External"/><Relationship Id="rId146" Type="http://schemas.openxmlformats.org/officeDocument/2006/relationships/hyperlink" Target="https://octopart.com/click/track?ai=8078&amp;sig=02ba261&amp;sid=459&amp;ppid=55422883&amp;vpid=188063623&amp;ct=offers" TargetMode="External"/><Relationship Id="rId147" Type="http://schemas.openxmlformats.org/officeDocument/2006/relationships/hyperlink" Target="https://octopart.com/click/track?ai=8078&amp;sig=06dead0&amp;sid=819&amp;ppid=55422883&amp;vpid=139326303&amp;ct=offers" TargetMode="External"/><Relationship Id="rId148" Type="http://schemas.openxmlformats.org/officeDocument/2006/relationships/hyperlink" Target="https://octopart.com/click/track?ai=8078&amp;sig=099488e&amp;sid=27971&amp;ppid=55422883&amp;vpid=486840291&amp;ct=offers" TargetMode="External"/><Relationship Id="rId149" Type="http://schemas.openxmlformats.org/officeDocument/2006/relationships/hyperlink" Target="https://octopart.com/click/track?ai=8078&amp;sig=0a3f4bb&amp;sid=2401&amp;ppid=55422883&amp;vpid=187841059&amp;ct=offers" TargetMode="External"/><Relationship Id="rId150" Type="http://schemas.openxmlformats.org/officeDocument/2006/relationships/hyperlink" Target="https://octopart.com/click/track?ai=8078&amp;sig=00f011b&amp;sid=2402&amp;ppid=55422883&amp;vpid=191195144&amp;ct=offers" TargetMode="External"/><Relationship Id="rId151" Type="http://schemas.openxmlformats.org/officeDocument/2006/relationships/hyperlink" Target="https://octopart.com/click/track?ai=8078&amp;sig=08a86e4&amp;sid=10022&amp;ppid=55422883&amp;vpid=202928738&amp;ct=offers" TargetMode="External"/><Relationship Id="rId152" Type="http://schemas.openxmlformats.org/officeDocument/2006/relationships/hyperlink" Target="https://www.molex.com/pdm_docs/sd/901200160_sd.pdf" TargetMode="External"/><Relationship Id="rId153" Type="http://schemas.openxmlformats.org/officeDocument/2006/relationships/hyperlink" Target="https://octopart.com/click/track?c=1&amp;ai=8078&amp;sig=0377670&amp;sid=1106&amp;ppid=655415&amp;vpid=485837700&amp;ct=offers" TargetMode="External"/><Relationship Id="rId154" Type="http://schemas.openxmlformats.org/officeDocument/2006/relationships/hyperlink" Target="https://octopart.com/click/track?ai=8078&amp;sig=05447dd&amp;sid=459&amp;ppid=655415&amp;vpid=587833127&amp;ct=offers" TargetMode="External"/><Relationship Id="rId155" Type="http://schemas.openxmlformats.org/officeDocument/2006/relationships/hyperlink" Target="https://octopart.com/click/track?ai=8078&amp;sig=037ccaa&amp;sid=819&amp;ppid=655415&amp;vpid=540454106&amp;ct=offers" TargetMode="External"/><Relationship Id="rId156" Type="http://schemas.openxmlformats.org/officeDocument/2006/relationships/hyperlink" Target="https://octopart.com/click/track?ai=8078&amp;sig=063cfe2&amp;sid=2401&amp;ppid=655415&amp;vpid=37665101&amp;ct=offers" TargetMode="External"/><Relationship Id="rId157" Type="http://schemas.openxmlformats.org/officeDocument/2006/relationships/hyperlink" Target="https://octopart.com/click/track?ai=8078&amp;sig=04220e5&amp;sid=2402&amp;ppid=655415&amp;vpid=547454214&amp;ct=offers" TargetMode="External"/><Relationship Id="rId158" Type="http://schemas.openxmlformats.org/officeDocument/2006/relationships/hyperlink" Target="https://octopart.com/click/track?ai=8078&amp;sig=0f2dc73&amp;sid=10022&amp;ppid=655415&amp;vpid=199069844&amp;ct=offers" TargetMode="External"/><Relationship Id="rId159" Type="http://schemas.openxmlformats.org/officeDocument/2006/relationships/hyperlink" Target="https://octopart.com/click/track?ai=8078&amp;sig=0cf32d4&amp;sid=1532&amp;ppid=655415&amp;vpid=709095255&amp;ct=offers" TargetMode="External"/><Relationship Id="rId160" Type="http://schemas.openxmlformats.org/officeDocument/2006/relationships/hyperlink" Target="https://www.molex.com/pdm_docs/sd/901200160_sd.pdf" TargetMode="External"/><Relationship Id="rId161" Type="http://schemas.openxmlformats.org/officeDocument/2006/relationships/hyperlink" Target="https://octopart.com/click/track?c=1&amp;ai=8078&amp;sig=0377670&amp;sid=1106&amp;ppid=655415&amp;vpid=485837700&amp;ct=offers" TargetMode="External"/><Relationship Id="rId162" Type="http://schemas.openxmlformats.org/officeDocument/2006/relationships/hyperlink" Target="https://octopart.com/click/track?ai=8078&amp;sig=05447dd&amp;sid=459&amp;ppid=655415&amp;vpid=587833127&amp;ct=offers" TargetMode="External"/><Relationship Id="rId163" Type="http://schemas.openxmlformats.org/officeDocument/2006/relationships/hyperlink" Target="https://octopart.com/click/track?ai=8078&amp;sig=037ccaa&amp;sid=819&amp;ppid=655415&amp;vpid=540454106&amp;ct=offers" TargetMode="External"/><Relationship Id="rId164" Type="http://schemas.openxmlformats.org/officeDocument/2006/relationships/hyperlink" Target="https://octopart.com/click/track?ai=8078&amp;sig=063cfe2&amp;sid=2401&amp;ppid=655415&amp;vpid=37665101&amp;ct=offers" TargetMode="External"/><Relationship Id="rId165" Type="http://schemas.openxmlformats.org/officeDocument/2006/relationships/hyperlink" Target="https://octopart.com/click/track?ai=8078&amp;sig=04220e5&amp;sid=2402&amp;ppid=655415&amp;vpid=547454214&amp;ct=offers" TargetMode="External"/><Relationship Id="rId166" Type="http://schemas.openxmlformats.org/officeDocument/2006/relationships/hyperlink" Target="https://octopart.com/click/track?ai=8078&amp;sig=0f2dc73&amp;sid=10022&amp;ppid=655415&amp;vpid=199069844&amp;ct=offers" TargetMode="External"/><Relationship Id="rId167" Type="http://schemas.openxmlformats.org/officeDocument/2006/relationships/hyperlink" Target="https://octopart.com/click/track?ai=8078&amp;sig=0cf32d4&amp;sid=1532&amp;ppid=655415&amp;vpid=709095255&amp;ct=offers" TargetMode="External"/><Relationship Id="rId168" Type="http://schemas.openxmlformats.org/officeDocument/2006/relationships/hyperlink" Target="https://www.molex.com/pdm_docs/sd/901200160_sd.pdf" TargetMode="External"/><Relationship Id="rId169" Type="http://schemas.openxmlformats.org/officeDocument/2006/relationships/hyperlink" Target="https://octopart.com/click/track?c=1&amp;ai=8078&amp;sig=0377670&amp;sid=1106&amp;ppid=655415&amp;vpid=485837700&amp;ct=offers" TargetMode="External"/><Relationship Id="rId170" Type="http://schemas.openxmlformats.org/officeDocument/2006/relationships/hyperlink" Target="https://octopart.com/click/track?ai=8078&amp;sig=05447dd&amp;sid=459&amp;ppid=655415&amp;vpid=587833127&amp;ct=offers" TargetMode="External"/><Relationship Id="rId171" Type="http://schemas.openxmlformats.org/officeDocument/2006/relationships/hyperlink" Target="https://octopart.com/click/track?ai=8078&amp;sig=037ccaa&amp;sid=819&amp;ppid=655415&amp;vpid=540454106&amp;ct=offers" TargetMode="External"/><Relationship Id="rId172" Type="http://schemas.openxmlformats.org/officeDocument/2006/relationships/hyperlink" Target="https://octopart.com/click/track?ai=8078&amp;sig=063cfe2&amp;sid=2401&amp;ppid=655415&amp;vpid=37665101&amp;ct=offers" TargetMode="External"/><Relationship Id="rId173" Type="http://schemas.openxmlformats.org/officeDocument/2006/relationships/hyperlink" Target="https://octopart.com/click/track?ai=8078&amp;sig=04220e5&amp;sid=2402&amp;ppid=655415&amp;vpid=547454214&amp;ct=offers" TargetMode="External"/><Relationship Id="rId174" Type="http://schemas.openxmlformats.org/officeDocument/2006/relationships/hyperlink" Target="https://octopart.com/click/track?ai=8078&amp;sig=0f2dc73&amp;sid=10022&amp;ppid=655415&amp;vpid=199069844&amp;ct=offers" TargetMode="External"/><Relationship Id="rId175" Type="http://schemas.openxmlformats.org/officeDocument/2006/relationships/hyperlink" Target="https://octopart.com/click/track?ai=8078&amp;sig=0cf32d4&amp;sid=1532&amp;ppid=655415&amp;vpid=709095255&amp;ct=offers" TargetMode="External"/><Relationship Id="rId176" Type="http://schemas.openxmlformats.org/officeDocument/2006/relationships/hyperlink" Target="https://datasheet.octopart.com/ERJ-6ENF1004V-Panasonic-datasheet-5313456.pdf" TargetMode="External"/><Relationship Id="rId177" Type="http://schemas.openxmlformats.org/officeDocument/2006/relationships/hyperlink" Target="https://octopart.com/click/track?c=1&amp;ai=8078&amp;sig=0ce530a&amp;sid=1106&amp;ppid=55403682&amp;vpid=485943053&amp;ct=offers" TargetMode="External"/><Relationship Id="rId178" Type="http://schemas.openxmlformats.org/officeDocument/2006/relationships/hyperlink" Target="https://octopart.com/click/track?ai=8078&amp;sig=08083ec&amp;sid=459&amp;ppid=55403682&amp;vpid=188062522&amp;ct=offers" TargetMode="External"/><Relationship Id="rId179" Type="http://schemas.openxmlformats.org/officeDocument/2006/relationships/hyperlink" Target="https://octopart.com/click/track?c=1&amp;ai=8078&amp;sig=0ca6802&amp;sid=819&amp;ppid=55403682&amp;vpid=586470102&amp;ct=offers" TargetMode="External"/><Relationship Id="rId180" Type="http://schemas.openxmlformats.org/officeDocument/2006/relationships/hyperlink" Target="https://octopart.com/click/track?ai=8078&amp;sig=0d34d18&amp;sid=27971&amp;ppid=55403682&amp;vpid=592590562&amp;ct=offers" TargetMode="External"/><Relationship Id="rId181" Type="http://schemas.openxmlformats.org/officeDocument/2006/relationships/hyperlink" Target="https://octopart.com/click/track?ai=8078&amp;sig=09a3424&amp;sid=2401&amp;ppid=55403682&amp;vpid=187840508&amp;ct=offers" TargetMode="External"/><Relationship Id="rId182" Type="http://schemas.openxmlformats.org/officeDocument/2006/relationships/hyperlink" Target="https://octopart.com/click/track?ai=8078&amp;sig=0a42239&amp;sid=2402&amp;ppid=55403682&amp;vpid=190851894&amp;ct=offers" TargetMode="External"/><Relationship Id="rId183" Type="http://schemas.openxmlformats.org/officeDocument/2006/relationships/hyperlink" Target="https://octopart.com/click/track?ai=8078&amp;sig=0b3c397&amp;sid=10022&amp;ppid=55403682&amp;vpid=202928726&amp;ct=offers" TargetMode="External"/><Relationship Id="rId184" Type="http://schemas.openxmlformats.org/officeDocument/2006/relationships/hyperlink" Target="https://sten-eswitch-13110800-production.s3.amazonaws.com/system/asset/product_line/data_sheet/226/FS5700.pdf" TargetMode="External"/><Relationship Id="rId185" Type="http://schemas.openxmlformats.org/officeDocument/2006/relationships/hyperlink" Target="https://octopart.com/click/track?ai=8078&amp;sig=0525b98&amp;sid=459&amp;ppid=81236039&amp;vpid=419089387&amp;ct=offers" TargetMode="External"/><Relationship Id="rId186" Type="http://schemas.openxmlformats.org/officeDocument/2006/relationships/hyperlink" Target="https://octopart.com/click/track?c=1&amp;ai=8078&amp;sig=00b8a56&amp;sid=11744&amp;ppid=81236039&amp;vpid=439207671&amp;ct=offers" TargetMode="External"/><Relationship Id="rId187" Type="http://schemas.openxmlformats.org/officeDocument/2006/relationships/hyperlink" Target="https://octopart.com/click/track?c=1&amp;ai=8078&amp;sig=048ad5a&amp;sid=2401&amp;ppid=81236039&amp;vpid=449043329&amp;ct=offers" TargetMode="External"/><Relationship Id="rId188" Type="http://schemas.openxmlformats.org/officeDocument/2006/relationships/hyperlink" Target="https://octopart.com/click/track?c=1&amp;ai=8078&amp;sig=04bc194&amp;sid=2402&amp;ppid=81236039&amp;vpid=432765237&amp;ct=offers" TargetMode="External"/><Relationship Id="rId189" Type="http://schemas.openxmlformats.org/officeDocument/2006/relationships/hyperlink" Target="https://www.arrow.com/en/bom-tool/" TargetMode="External"/><Relationship Id="rId190" Type="http://schemas.openxmlformats.org/officeDocument/2006/relationships/hyperlink" Target="https://www.digikey.com/ordering/shoppingcart" TargetMode="External"/><Relationship Id="rId191" Type="http://schemas.openxmlformats.org/officeDocument/2006/relationships/hyperlink" Target="https://fr.farnell.com/en-FR/quick-order?isQuickPaste=true" TargetMode="External"/><Relationship Id="rId192" Type="http://schemas.openxmlformats.org/officeDocument/2006/relationships/hyperlink" Target="https://lcsc.com/bom.html" TargetMode="External"/><Relationship Id="rId193" Type="http://schemas.openxmlformats.org/officeDocument/2006/relationships/hyperlink" Target="https://mouser.com/bom/" TargetMode="External"/><Relationship Id="rId194" Type="http://schemas.openxmlformats.org/officeDocument/2006/relationships/hyperlink" Target="https://www.newark.com/quick-order?isQuickPaste=true" TargetMode="External"/><Relationship Id="rId195" Type="http://schemas.openxmlformats.org/officeDocument/2006/relationships/hyperlink" Target="https://uk.rs-online.com/web/mylists/manualQuotes.html?method=showEnquiryCreationPage&amp;mode=new" TargetMode="External"/><Relationship Id="rId196" Type="http://schemas.openxmlformats.org/officeDocument/2006/relationships/hyperlink" Target="https://www.tme.eu/en/Profile/QuickBuy/load.html" TargetMode="External"/><Relationship Id="rId197" Type="http://schemas.openxmlformats.org/officeDocument/2006/relationships/vmlDrawing" Target="../drawings/vmlDrawing1.vml"/><Relationship Id="rId19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3"/>
  <cols>
    <col min="1" max="1" width="25.7109375" customWidth="1"/>
    <col min="2" max="2" width="18.7109375" customWidth="1"/>
    <col min="3" max="3" width="29.7109375" customWidth="1" outlineLevel="2"/>
    <col min="4" max="4" width="33.7109375" customWidth="1" outlineLevel="2"/>
    <col min="5" max="5" width="17.7109375" customWidth="1" outlineLevel="1"/>
    <col min="6" max="6" width="19.7109375" customWidth="1" outlineLevel="1"/>
    <col min="7" max="7" width="9.140625" outlineLevel="1"/>
    <col min="8" max="8" width="22.7109375" customWidth="1"/>
    <col min="9" max="9" width="16.7109375" customWidth="1"/>
    <col min="10" max="10" width="9.7109375" customWidth="1" outlineLevel="1"/>
    <col min="11" max="11" width="9.140625" outlineLevel="2"/>
    <col min="12" max="12" width="10.7109375" customWidth="1" outlineLevel="2"/>
    <col min="13" max="13" width="0" hidden="1" customWidth="1" outlineLevel="3" collapsed="1"/>
    <col min="14" max="14" width="16.7109375" customWidth="1"/>
    <col min="15" max="15" width="19.7109375" customWidth="1" outlineLevel="2"/>
    <col min="16" max="16" width="9.7109375" customWidth="1" outlineLevel="1"/>
    <col min="17" max="17" width="9.140625" outlineLevel="2"/>
    <col min="18" max="18" width="10.7109375" customWidth="1" outlineLevel="2"/>
    <col min="19" max="19" width="0" hidden="1" customWidth="1" outlineLevel="3" collapsed="1"/>
    <col min="20" max="20" width="16.7109375" customWidth="1"/>
    <col min="21" max="21" width="17.7109375" customWidth="1" outlineLevel="2"/>
    <col min="22" max="22" width="9.7109375" customWidth="1" outlineLevel="1"/>
    <col min="23" max="23" width="9.140625" outlineLevel="2"/>
    <col min="24" max="24" width="10.7109375" customWidth="1" outlineLevel="2"/>
    <col min="25" max="25" width="0" hidden="1" customWidth="1" outlineLevel="3" collapsed="1"/>
    <col min="26" max="26" width="16.7109375" customWidth="1"/>
    <col min="27" max="27" width="16.7109375" customWidth="1" outlineLevel="2"/>
    <col min="28" max="28" width="9.7109375" customWidth="1" outlineLevel="1"/>
    <col min="29" max="29" width="9.140625" outlineLevel="2"/>
    <col min="30" max="30" width="10.7109375" customWidth="1" outlineLevel="2"/>
    <col min="31" max="31" width="0" hidden="1" customWidth="1" outlineLevel="3" collapsed="1"/>
    <col min="32" max="32" width="16.7109375" customWidth="1"/>
    <col min="33" max="33" width="16.7109375" customWidth="1" outlineLevel="2"/>
    <col min="34" max="34" width="9.7109375" customWidth="1" outlineLevel="1"/>
    <col min="35" max="35" width="9.140625" outlineLevel="2"/>
    <col min="36" max="36" width="10.7109375" customWidth="1" outlineLevel="2"/>
    <col min="37" max="37" width="0" hidden="1" customWidth="1" outlineLevel="3" collapsed="1"/>
    <col min="38" max="38" width="16.7109375" customWidth="1"/>
    <col min="39" max="39" width="20.7109375" customWidth="1" outlineLevel="2"/>
    <col min="40" max="40" width="9.7109375" customWidth="1" outlineLevel="1"/>
    <col min="41" max="41" width="9.140625" outlineLevel="2"/>
    <col min="42" max="42" width="10.7109375" customWidth="1" outlineLevel="2"/>
    <col min="43" max="43" width="0" hidden="1" customWidth="1" outlineLevel="3" collapsed="1"/>
    <col min="44" max="44" width="16.7109375" customWidth="1"/>
    <col min="45" max="45" width="16.7109375" customWidth="1" outlineLevel="2"/>
    <col min="46" max="46" width="9.7109375" customWidth="1" outlineLevel="1"/>
    <col min="47" max="47" width="9.140625" outlineLevel="2"/>
    <col min="48" max="48" width="10.7109375" customWidth="1" outlineLevel="2"/>
    <col min="49" max="49" width="0" hidden="1" customWidth="1" outlineLevel="3" collapsed="1"/>
    <col min="50" max="50" width="16.7109375" customWidth="1"/>
    <col min="51" max="51" width="16.7109375" customWidth="1" outlineLevel="2"/>
    <col min="52" max="52" width="9.7109375" customWidth="1" outlineLevel="1"/>
    <col min="53" max="53" width="9.140625" outlineLevel="2"/>
    <col min="54" max="54" width="10.7109375" customWidth="1" outlineLevel="2"/>
    <col min="55" max="55" width="0" hidden="1" customWidth="1" outlineLevel="3" collapsed="1"/>
    <col min="56" max="56" width="16.7109375" customWidth="1"/>
    <col min="57" max="57" width="16.7109375" customWidth="1" outlineLevel="2"/>
  </cols>
  <sheetData>
    <row r="1" spans="1:57">
      <c r="A1" s="1" t="s">
        <v>246</v>
      </c>
      <c r="B1" s="2" t="s">
        <v>247</v>
      </c>
      <c r="H1" s="3" t="s">
        <v>252</v>
      </c>
      <c r="I1" s="3">
        <v>1</v>
      </c>
    </row>
    <row r="2" spans="1:57">
      <c r="A2" s="1" t="s">
        <v>248</v>
      </c>
      <c r="B2" s="2" t="s">
        <v>249</v>
      </c>
      <c r="H2" s="1" t="s">
        <v>254</v>
      </c>
      <c r="I2" s="4">
        <f>TotalCost/BoardQty</f>
        <v>24.3384</v>
      </c>
    </row>
    <row r="3" spans="1:57">
      <c r="A3" s="1" t="s">
        <v>250</v>
      </c>
      <c r="B3" s="2" t="s">
        <v>251</v>
      </c>
      <c r="H3" s="1" t="s">
        <v>253</v>
      </c>
      <c r="I3" s="5">
        <f>SUM(I7:I34)</f>
        <v>24.3384</v>
      </c>
      <c r="N3" s="5">
        <f>SUM(N7:N34)</f>
        <v>11.8648</v>
      </c>
      <c r="O3" s="6" t="str">
        <f>(COUNTA(N7:N34)&amp;" of "&amp;ROWS(N7:N34)&amp;" parts found")</f>
        <v>22 of 28 parts found</v>
      </c>
      <c r="T3" s="5">
        <f>SUM(T7:T34)</f>
        <v>32.83</v>
      </c>
      <c r="U3" s="6" t="str">
        <f>(COUNTA(T7:T34)&amp;" of "&amp;ROWS(T7:T34)&amp;" parts found")</f>
        <v>26 of 28 parts found</v>
      </c>
      <c r="Z3" s="5">
        <f>SUM(Z7:Z34)</f>
        <v>23.5845</v>
      </c>
      <c r="AA3" s="6" t="str">
        <f>(COUNTA(Z7:Z34)&amp;" of "&amp;ROWS(Z7:Z34)&amp;" parts found")</f>
        <v>24 of 28 parts found</v>
      </c>
      <c r="AF3" s="5">
        <f>SUM(AF7:AF34)</f>
        <v>2.5956</v>
      </c>
      <c r="AG3" s="6" t="str">
        <f>(COUNTA(AF7:AF34)&amp;" of "&amp;ROWS(AF7:AF34)&amp;" parts found")</f>
        <v>10 of 28 parts found</v>
      </c>
      <c r="AL3" s="5">
        <f>SUM(AL7:AL34)</f>
        <v>32.47</v>
      </c>
      <c r="AM3" s="6" t="str">
        <f>(COUNTA(AL7:AL34)&amp;" of "&amp;ROWS(AL7:AL34)&amp;" parts found")</f>
        <v>25 of 28 parts found</v>
      </c>
      <c r="AR3" s="5">
        <f>SUM(AR7:AR34)</f>
        <v>29.673</v>
      </c>
      <c r="AS3" s="6" t="str">
        <f>(COUNTA(AR7:AR34)&amp;" of "&amp;ROWS(AR7:AR34)&amp;" parts found")</f>
        <v>24 of 28 parts found</v>
      </c>
      <c r="AX3" s="5">
        <f>SUM(AX7:AX34)</f>
        <v>2.0601</v>
      </c>
      <c r="AY3" s="6" t="str">
        <f>(COUNTA(AX7:AX34)&amp;" of "&amp;ROWS(AX7:AX34)&amp;" parts found")</f>
        <v>16 of 28 parts found</v>
      </c>
      <c r="BD3" s="5">
        <f>SUM(BD7:BD34)</f>
        <v>13.6077</v>
      </c>
      <c r="BE3" s="6" t="str">
        <f>(COUNTA(BD7:BD34)&amp;" of "&amp;ROWS(BD7:BD34)&amp;" parts found")</f>
        <v>13 of 28 parts found</v>
      </c>
    </row>
    <row r="4" spans="1:57">
      <c r="A4" s="1" t="s">
        <v>255</v>
      </c>
      <c r="B4" s="2" t="s">
        <v>256</v>
      </c>
    </row>
    <row r="5" spans="1:57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101</v>
      </c>
      <c r="K5" s="8"/>
      <c r="L5" s="8"/>
      <c r="M5" s="8"/>
      <c r="N5" s="8"/>
      <c r="O5" s="8"/>
      <c r="P5" s="9" t="s">
        <v>118</v>
      </c>
      <c r="Q5" s="9"/>
      <c r="R5" s="9"/>
      <c r="S5" s="9"/>
      <c r="T5" s="9"/>
      <c r="U5" s="9"/>
      <c r="V5" s="10" t="s">
        <v>142</v>
      </c>
      <c r="W5" s="10"/>
      <c r="X5" s="10"/>
      <c r="Y5" s="10"/>
      <c r="Z5" s="10"/>
      <c r="AA5" s="10"/>
      <c r="AB5" s="11" t="s">
        <v>164</v>
      </c>
      <c r="AC5" s="11"/>
      <c r="AD5" s="11"/>
      <c r="AE5" s="11"/>
      <c r="AF5" s="11"/>
      <c r="AG5" s="11"/>
      <c r="AH5" s="12" t="s">
        <v>174</v>
      </c>
      <c r="AI5" s="12"/>
      <c r="AJ5" s="12"/>
      <c r="AK5" s="12"/>
      <c r="AL5" s="12"/>
      <c r="AM5" s="12"/>
      <c r="AN5" s="13" t="s">
        <v>197</v>
      </c>
      <c r="AO5" s="13"/>
      <c r="AP5" s="13"/>
      <c r="AQ5" s="13"/>
      <c r="AR5" s="13"/>
      <c r="AS5" s="13"/>
      <c r="AT5" s="14" t="s">
        <v>219</v>
      </c>
      <c r="AU5" s="14"/>
      <c r="AV5" s="14"/>
      <c r="AW5" s="14"/>
      <c r="AX5" s="14"/>
      <c r="AY5" s="14"/>
      <c r="AZ5" s="15" t="s">
        <v>234</v>
      </c>
      <c r="BA5" s="15"/>
      <c r="BB5" s="15"/>
      <c r="BC5" s="15"/>
      <c r="BD5" s="15"/>
      <c r="BE5" s="15"/>
    </row>
    <row r="6" spans="1:5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102</v>
      </c>
      <c r="K6" s="16" t="s">
        <v>103</v>
      </c>
      <c r="L6" s="16" t="s">
        <v>8</v>
      </c>
      <c r="M6" s="16" t="s">
        <v>104</v>
      </c>
      <c r="N6" s="16" t="s">
        <v>9</v>
      </c>
      <c r="O6" s="16" t="s">
        <v>105</v>
      </c>
      <c r="P6" s="16" t="s">
        <v>102</v>
      </c>
      <c r="Q6" s="16" t="s">
        <v>103</v>
      </c>
      <c r="R6" s="16" t="s">
        <v>8</v>
      </c>
      <c r="S6" s="16" t="s">
        <v>104</v>
      </c>
      <c r="T6" s="16" t="s">
        <v>9</v>
      </c>
      <c r="U6" s="16" t="s">
        <v>105</v>
      </c>
      <c r="V6" s="16" t="s">
        <v>102</v>
      </c>
      <c r="W6" s="16" t="s">
        <v>103</v>
      </c>
      <c r="X6" s="16" t="s">
        <v>8</v>
      </c>
      <c r="Y6" s="16" t="s">
        <v>104</v>
      </c>
      <c r="Z6" s="16" t="s">
        <v>9</v>
      </c>
      <c r="AA6" s="16" t="s">
        <v>105</v>
      </c>
      <c r="AB6" s="16" t="s">
        <v>102</v>
      </c>
      <c r="AC6" s="16" t="s">
        <v>103</v>
      </c>
      <c r="AD6" s="16" t="s">
        <v>8</v>
      </c>
      <c r="AE6" s="16" t="s">
        <v>104</v>
      </c>
      <c r="AF6" s="16" t="s">
        <v>9</v>
      </c>
      <c r="AG6" s="16" t="s">
        <v>105</v>
      </c>
      <c r="AH6" s="16" t="s">
        <v>102</v>
      </c>
      <c r="AI6" s="16" t="s">
        <v>103</v>
      </c>
      <c r="AJ6" s="16" t="s">
        <v>8</v>
      </c>
      <c r="AK6" s="16" t="s">
        <v>104</v>
      </c>
      <c r="AL6" s="16" t="s">
        <v>9</v>
      </c>
      <c r="AM6" s="16" t="s">
        <v>105</v>
      </c>
      <c r="AN6" s="16" t="s">
        <v>102</v>
      </c>
      <c r="AO6" s="16" t="s">
        <v>103</v>
      </c>
      <c r="AP6" s="16" t="s">
        <v>8</v>
      </c>
      <c r="AQ6" s="16" t="s">
        <v>104</v>
      </c>
      <c r="AR6" s="16" t="s">
        <v>9</v>
      </c>
      <c r="AS6" s="16" t="s">
        <v>105</v>
      </c>
      <c r="AT6" s="16" t="s">
        <v>102</v>
      </c>
      <c r="AU6" s="16" t="s">
        <v>103</v>
      </c>
      <c r="AV6" s="16" t="s">
        <v>8</v>
      </c>
      <c r="AW6" s="16" t="s">
        <v>104</v>
      </c>
      <c r="AX6" s="16" t="s">
        <v>9</v>
      </c>
      <c r="AY6" s="16" t="s">
        <v>105</v>
      </c>
      <c r="AZ6" s="16" t="s">
        <v>102</v>
      </c>
      <c r="BA6" s="16" t="s">
        <v>103</v>
      </c>
      <c r="BB6" s="16" t="s">
        <v>8</v>
      </c>
      <c r="BC6" s="16" t="s">
        <v>104</v>
      </c>
      <c r="BD6" s="16" t="s">
        <v>9</v>
      </c>
      <c r="BE6" s="16" t="s">
        <v>105</v>
      </c>
    </row>
    <row r="7" spans="1:57" ht="30" customHeight="1">
      <c r="A7" s="17" t="s">
        <v>10</v>
      </c>
      <c r="B7" s="17" t="s">
        <v>11</v>
      </c>
      <c r="D7" s="17" t="s">
        <v>12</v>
      </c>
      <c r="F7" s="17" t="s">
        <v>13</v>
      </c>
      <c r="G7" s="17">
        <f>CEILING(BoardQty*1.0,1)</f>
        <v>1</v>
      </c>
      <c r="H7" s="18">
        <f>IF(MIN(L7,R7,X7,AD7,AJ7,AP7,AV7,BB7)&lt;&gt;0,MIN(L7,R7,X7,AD7,AJ7,AP7,AV7,BB7),"")</f>
        <v>0.4277</v>
      </c>
      <c r="I7" s="19">
        <f>IF(AND(ISNUMBER(G7),ISNUMBER(H7)),G7*H7,"")</f>
        <v>0.4277</v>
      </c>
      <c r="J7" s="20" t="s">
        <v>106</v>
      </c>
      <c r="K7" s="17"/>
      <c r="L7" s="18">
        <f>IFERROR(IF(OR(K7&gt;=M7,G7&gt;=M7),LOOKUP(IF(K7="",G7,K7),{0,1,10,25,100,250,500,1000,3000},{0.0,0.4277,0.2891,0.2864,0.1794,0.1729,0.1293,0.1109,0.1018}),"MOQ="&amp;M7),"")</f>
        <v>0.4277</v>
      </c>
      <c r="M7" s="17">
        <v>1</v>
      </c>
      <c r="N7" s="19">
        <f>IFERROR(IF(K7="",G7,K7)*L7,"")</f>
        <v>0.4277</v>
      </c>
      <c r="O7" s="17" t="s">
        <v>13</v>
      </c>
      <c r="P7" s="17">
        <v>11326</v>
      </c>
      <c r="Q7" s="17"/>
      <c r="R7" s="18">
        <f>IFERROR(IF(OR(Q7&gt;=S7,G7&gt;=S7),LOOKUP(IF(Q7="",G7,Q7),{0,1,10,50,100,500,1000,3000},{0.0,0.45,0.31,0.217,0.186,0.13946,0.11777,0.09702}),"MOQ="&amp;S7),"")</f>
        <v>0.45</v>
      </c>
      <c r="S7" s="17">
        <v>1</v>
      </c>
      <c r="T7" s="19">
        <f>IFERROR(IF(Q7="",G7,Q7)*R7,"")</f>
        <v>0.45</v>
      </c>
      <c r="U7" s="17" t="s">
        <v>119</v>
      </c>
      <c r="V7" s="20" t="s">
        <v>106</v>
      </c>
      <c r="W7" s="17"/>
      <c r="X7" s="18">
        <f>IFERROR(IF(OR(W7&gt;=Y7,G7&gt;=Y7),USD_GBP*LOOKUP(IF(W7="",G7,W7),{0,1,3000},{0.0,0.062,0.062}),"MOQ="&amp;Y7),"")</f>
        <v/>
      </c>
      <c r="Y7" s="17">
        <v>3000</v>
      </c>
      <c r="Z7" s="19">
        <f>IFERROR(IF(W7="",G7,W7)*X7,"")</f>
        <v/>
      </c>
      <c r="AA7" s="17" t="s">
        <v>143</v>
      </c>
      <c r="AH7" s="17">
        <v>4436</v>
      </c>
      <c r="AI7" s="17"/>
      <c r="AJ7" s="18">
        <f>IFERROR(IF(OR(AI7&gt;=AK7,G7&gt;=AK7),LOOKUP(IF(AI7="",G7,AI7),{0,1,10,50,100,1000,10000},{0.0,0.44,0.309,0.309,0.185,0.117,0.105}),"MOQ="&amp;AK7),"")</f>
        <v>0.44</v>
      </c>
      <c r="AK7" s="17">
        <v>1</v>
      </c>
      <c r="AL7" s="19">
        <f>IFERROR(IF(AI7="",G7,AI7)*AJ7,"")</f>
        <v>0.44</v>
      </c>
      <c r="AM7" s="17" t="s">
        <v>175</v>
      </c>
    </row>
    <row r="8" spans="1:57" ht="30" customHeight="1">
      <c r="A8" s="17" t="s">
        <v>14</v>
      </c>
      <c r="B8" s="17" t="s">
        <v>15</v>
      </c>
      <c r="D8" s="17" t="s">
        <v>12</v>
      </c>
      <c r="F8" s="17" t="s">
        <v>16</v>
      </c>
      <c r="G8" s="17">
        <f>CEILING(BoardQty*2.0,1)</f>
        <v>2</v>
      </c>
      <c r="H8" s="18">
        <f>IF(MIN(L8,R8,X8,AD8,AJ8,AP8,AV8,BB8)&lt;&gt;0,MIN(L8,R8,X8,AD8,AJ8,AP8,AV8,BB8),"")</f>
        <v>0.0193</v>
      </c>
      <c r="I8" s="19">
        <f>IF(AND(ISNUMBER(G8),ISNUMBER(H8)),G8*H8,"")</f>
        <v>0.0386</v>
      </c>
      <c r="J8" s="17">
        <v>100</v>
      </c>
      <c r="K8" s="17"/>
      <c r="L8" s="18">
        <f>IFERROR(IF(OR(K8&gt;=M8,G8&gt;=M8),LOOKUP(IF(K8="",G8,K8),{0,1},{0.0,0.0193}),"MOQ="&amp;M8),"")</f>
        <v>0.0193</v>
      </c>
      <c r="M8" s="17">
        <v>1</v>
      </c>
      <c r="N8" s="19">
        <f>IFERROR(IF(K8="",G8,K8)*L8,"")</f>
        <v>0.0386</v>
      </c>
      <c r="O8" s="17" t="s">
        <v>16</v>
      </c>
      <c r="P8" s="20" t="s">
        <v>106</v>
      </c>
      <c r="Q8" s="17"/>
      <c r="R8" s="18">
        <f>IFERROR(IF(OR(Q8&gt;=S8,G8&gt;=S8),LOOKUP(IF(Q8="",G8,Q8),{0,1,10,50,100,500,1000,4000},{0.0,0.14,0.099,0.0562,0.0465,0.03262,0.027,0.023}),"MOQ="&amp;S8),"")</f>
        <v>0.14</v>
      </c>
      <c r="S8" s="17">
        <v>1</v>
      </c>
      <c r="T8" s="19">
        <f>IFERROR(IF(Q8="",G8,Q8)*R8,"")</f>
        <v>0.28</v>
      </c>
      <c r="U8" s="17" t="s">
        <v>120</v>
      </c>
      <c r="V8" s="17">
        <v>212606</v>
      </c>
      <c r="W8" s="17"/>
      <c r="X8" s="18">
        <f>IFERROR(IF(OR(W8&gt;=Y8,G8&gt;=Y8),USD_GBP*LOOKUP(IF(W8="",G8,W8),{0,1,10,100,150,500,1000,2000,4000,20000},{0.0,0.06,0.06,0.0491,0.0491,0.0316,0.0237,0.0232,0.0196,0.0192}),"MOQ="&amp;Y8),"")</f>
        <v/>
      </c>
      <c r="Y8" s="17">
        <v>10</v>
      </c>
      <c r="Z8" s="19">
        <f>IFERROR(IF(W8="",G8,W8)*X8,"")</f>
        <v/>
      </c>
      <c r="AA8" s="17" t="s">
        <v>144</v>
      </c>
      <c r="AH8" s="17">
        <v>244640</v>
      </c>
      <c r="AI8" s="17"/>
      <c r="AJ8" s="18">
        <f>IFERROR(IF(OR(AI8&gt;=AK8,G8&gt;=AK8),LOOKUP(IF(AI8="",G8,AI8),{0,1,10,50,100,1000,10000},{0.0,0.24,0.113,0.113,0.07,0.052,0.041}),"MOQ="&amp;AK8),"")</f>
        <v>0.24</v>
      </c>
      <c r="AK8" s="17">
        <v>1</v>
      </c>
      <c r="AL8" s="19">
        <f>IFERROR(IF(AI8="",G8,AI8)*AJ8,"")</f>
        <v>0.48</v>
      </c>
      <c r="AM8" s="17" t="s">
        <v>176</v>
      </c>
      <c r="AN8" s="17">
        <v>230230</v>
      </c>
      <c r="AO8" s="17"/>
      <c r="AP8" s="18">
        <f>IFERROR(IF(OR(AO8&gt;=AQ8,G8&gt;=AQ8),LOOKUP(IF(AO8="",G8,AO8),{0,1,10,25,50,100,250,500,1000,4000,5000,10000,12000,20000},{0.0,0.035,0.229,0.181,0.138,0.091,0.079,0.065,0.054,0.035,0.031,0.024,0.048,0.019}),"MOQ="&amp;AQ8),"")</f>
        <v>0.035</v>
      </c>
      <c r="AQ8" s="17">
        <v>1</v>
      </c>
      <c r="AR8" s="19">
        <f>IFERROR(IF(AO8="",G8,AO8)*AP8,"")</f>
        <v>0.07</v>
      </c>
      <c r="AS8" s="17" t="s">
        <v>198</v>
      </c>
      <c r="AT8" s="17">
        <v>72675</v>
      </c>
      <c r="AU8" s="17"/>
      <c r="AV8" s="18">
        <f>IFERROR(IF(OR(AU8&gt;=AW8,G8&gt;=AW8),USD_GBP*LOOKUP(IF(AU8="",G8,AU8),{0,1,25},{0.0,0.088,0.088}),"MOQ="&amp;AW8),"")</f>
        <v/>
      </c>
      <c r="AW8" s="17">
        <v>25</v>
      </c>
      <c r="AX8" s="19">
        <f>IFERROR(IF(AU8="",G8,AU8)*AV8,"")</f>
        <v/>
      </c>
      <c r="AY8" s="17" t="s">
        <v>220</v>
      </c>
      <c r="AZ8" s="17">
        <v>300</v>
      </c>
      <c r="BA8" s="17"/>
      <c r="BB8" s="18">
        <f>IFERROR(IF(OR(BA8&gt;=BC8,G8&gt;=BC8),USD_GBP*LOOKUP(IF(BA8="",G8,BA8),{0,1,100,300,1000,2500,10000},{0.0,0.0403,0.0403,0.02717,0.01843,0.0145,0.01408}),"MOQ="&amp;BC8),"")</f>
        <v/>
      </c>
      <c r="BC8" s="17">
        <v>100</v>
      </c>
      <c r="BD8" s="19">
        <f>IFERROR(IF(BA8="",G8,BA8)*BB8,"")</f>
        <v/>
      </c>
      <c r="BE8" s="17" t="s">
        <v>235</v>
      </c>
    </row>
    <row r="9" spans="1:57" ht="30" customHeight="1">
      <c r="A9" s="17" t="s">
        <v>17</v>
      </c>
      <c r="B9" s="17" t="s">
        <v>18</v>
      </c>
      <c r="D9" s="17" t="s">
        <v>12</v>
      </c>
      <c r="F9" s="17" t="s">
        <v>19</v>
      </c>
      <c r="G9" s="17">
        <f>CEILING(BoardQty*2.0,1)</f>
        <v>2</v>
      </c>
      <c r="H9" s="18">
        <f>IF(MIN(L9,R9,X9,AD9,AJ9,AP9,AV9,BB9)&lt;&gt;0,MIN(L9,R9,X9,AD9,AJ9,AP9,AV9,BB9),"")</f>
        <v>0.65</v>
      </c>
      <c r="I9" s="19">
        <f>IF(AND(ISNUMBER(G9),ISNUMBER(H9)),G9*H9,"")</f>
        <v>1.3</v>
      </c>
      <c r="P9" s="17">
        <v>6310</v>
      </c>
      <c r="Q9" s="17"/>
      <c r="R9" s="18">
        <f>IFERROR(IF(OR(Q9&gt;=S9,G9&gt;=S9),LOOKUP(IF(Q9="",G9,Q9),{0,1,10,50,100,500,1000,3000},{0.0,0.65,0.462,0.3492,0.3041,0.22528,0.19149,0.18022}),"MOQ="&amp;S9),"")</f>
        <v>0.65</v>
      </c>
      <c r="S9" s="17">
        <v>1</v>
      </c>
      <c r="T9" s="19">
        <f>IFERROR(IF(Q9="",G9,Q9)*R9,"")</f>
        <v>1.3</v>
      </c>
      <c r="U9" s="17" t="s">
        <v>121</v>
      </c>
    </row>
    <row r="10" spans="1:57" ht="30" customHeight="1">
      <c r="A10" s="17" t="s">
        <v>20</v>
      </c>
      <c r="B10" s="17" t="s">
        <v>21</v>
      </c>
      <c r="D10" s="17" t="s">
        <v>12</v>
      </c>
      <c r="F10" s="17" t="s">
        <v>22</v>
      </c>
      <c r="G10" s="17">
        <f>CEILING(BoardQty*2.0,1)</f>
        <v>2</v>
      </c>
      <c r="H10" s="18">
        <f>IF(MIN(L10,R10,X10,AD10,AJ10,AP10,AV10,BB10)&lt;&gt;0,MIN(L10,R10,X10,AD10,AJ10,AP10,AV10,BB10),"")</f>
        <v>0.073</v>
      </c>
      <c r="I10" s="19">
        <f>IF(AND(ISNUMBER(G10),ISNUMBER(H10)),G10*H10,"")</f>
        <v>0.146</v>
      </c>
      <c r="J10" s="17">
        <v>9027</v>
      </c>
      <c r="K10" s="17"/>
      <c r="L10" s="18">
        <f>IFERROR(IF(OR(K10&gt;=M10,G10&gt;=M10),LOOKUP(IF(K10="",G10,K10),{0,1,2500,10000,25000,50000},{0.0,0.0349,0.0349,0.033,0.0314,0.0286}),"MOQ="&amp;M10),"")</f>
        <v/>
      </c>
      <c r="M10" s="17">
        <v>2500</v>
      </c>
      <c r="N10" s="19">
        <f>IFERROR(IF(K10="",G10,K10)*L10,"")</f>
        <v/>
      </c>
      <c r="O10" s="17" t="s">
        <v>22</v>
      </c>
      <c r="P10" s="20" t="s">
        <v>106</v>
      </c>
      <c r="Q10" s="17"/>
      <c r="R10" s="18">
        <f>IFERROR(IF(OR(Q10&gt;=S10,G10&gt;=S10),LOOKUP(IF(Q10="",G10,Q10),{0,1,10,50,100,500,1000,2500},{0.0,0.18,0.127,0.0718,0.0595,0.04174,0.03455,0.03216}),"MOQ="&amp;S10),"")</f>
        <v>0.18</v>
      </c>
      <c r="S10" s="17">
        <v>1</v>
      </c>
      <c r="T10" s="19">
        <f>IFERROR(IF(Q10="",G10,Q10)*R10,"")</f>
        <v>0.36</v>
      </c>
      <c r="U10" s="17" t="s">
        <v>122</v>
      </c>
      <c r="V10" s="17">
        <v>15953</v>
      </c>
      <c r="W10" s="17"/>
      <c r="X10" s="18">
        <f>IFERROR(IF(OR(W10&gt;=Y10,G10&gt;=Y10),USD_GBP*LOOKUP(IF(W10="",G10,W10),{0,1,5,50,150,250,500,1000,2500},{0.0,0.14,0.14,0.0632,0.0632,0.0515,0.0398,0.0295,0.0289}),"MOQ="&amp;Y10),"")</f>
        <v/>
      </c>
      <c r="Y10" s="17">
        <v>5</v>
      </c>
      <c r="Z10" s="19">
        <f>IFERROR(IF(W10="",G10,W10)*X10,"")</f>
        <v/>
      </c>
      <c r="AA10" s="17" t="s">
        <v>145</v>
      </c>
      <c r="AB10" s="17">
        <v>23720</v>
      </c>
      <c r="AC10" s="17"/>
      <c r="AD10" s="18">
        <f>IFERROR(IF(OR(AC10&gt;=AE10,G10&gt;=AE10),LOOKUP(IF(AC10="",G10,AC10),{0,1,20,200,600,2000,10000,20000},{0.0,0.15097,0.15097,0.11698,0.11074,0.1045,0.10173,0.10036}),"MOQ="&amp;AE10),"")</f>
        <v/>
      </c>
      <c r="AE10" s="17">
        <v>20</v>
      </c>
      <c r="AF10" s="19">
        <f>IFERROR(IF(AC10="",G10,AC10)*AD10,"")</f>
        <v/>
      </c>
      <c r="AG10" s="17" t="s">
        <v>165</v>
      </c>
      <c r="AH10" s="17">
        <v>82104</v>
      </c>
      <c r="AI10" s="17"/>
      <c r="AJ10" s="18">
        <f>IFERROR(IF(OR(AI10&gt;=AK10,G10&gt;=AK10),LOOKUP(IF(AI10="",G10,AI10),{0,1,10,50,100,1000,10000},{0.0,0.18,0.072,0.072,0.06,0.035,0.045}),"MOQ="&amp;AK10),"")</f>
        <v>0.18</v>
      </c>
      <c r="AK10" s="17">
        <v>1</v>
      </c>
      <c r="AL10" s="19">
        <f>IFERROR(IF(AI10="",G10,AI10)*AJ10,"")</f>
        <v>0.36</v>
      </c>
      <c r="AM10" s="17" t="s">
        <v>177</v>
      </c>
      <c r="AN10" s="17">
        <v>421500</v>
      </c>
      <c r="AO10" s="17"/>
      <c r="AP10" s="18">
        <f>IFERROR(IF(OR(AO10&gt;=AQ10,G10&gt;=AQ10),LOOKUP(IF(AO10="",G10,AO10),{0,1,5,10,25,50,100,250,500,1000,2500,5000,10000},{0.0,0.073,0.364,0.171,0.15,0.126,0.105,0.099,0.093,0.08,0.071,0.069,0.066}),"MOQ="&amp;AQ10),"")</f>
        <v>0.073</v>
      </c>
      <c r="AQ10" s="17">
        <v>1</v>
      </c>
      <c r="AR10" s="19">
        <f>IFERROR(IF(AO10="",G10,AO10)*AP10,"")</f>
        <v>0.146</v>
      </c>
      <c r="AS10" s="17" t="s">
        <v>199</v>
      </c>
      <c r="AT10" s="17">
        <v>7500</v>
      </c>
      <c r="AU10" s="17"/>
      <c r="AV10" s="18">
        <f>IFERROR(IF(OR(AU10&gt;=AW10,G10&gt;=AW10),USD_GBP*LOOKUP(IF(AU10="",G10,AU10),{0,1,500,2500},{0.0,0.036,0.036,0.029}),"MOQ="&amp;AW10),"")</f>
        <v/>
      </c>
      <c r="AW10" s="17">
        <v>500</v>
      </c>
      <c r="AX10" s="19">
        <f>IFERROR(IF(AU10="",G10,AU10)*AV10,"")</f>
        <v/>
      </c>
      <c r="AY10" s="17" t="s">
        <v>221</v>
      </c>
      <c r="AZ10" s="20" t="s">
        <v>106</v>
      </c>
      <c r="BA10" s="17"/>
      <c r="BB10" s="18">
        <f>IFERROR(IF(OR(BA10&gt;=BC10,G10&gt;=BC10),USD_GBP*LOOKUP(IF(BA10="",G10,BA10),{0,1,100,300,1000,2500},{0.0,0.0353,0.0353,0.0229,0.01668,0.0117}),"MOQ="&amp;BC10),"")</f>
        <v/>
      </c>
      <c r="BC10" s="17">
        <v>100</v>
      </c>
      <c r="BD10" s="19">
        <f>IFERROR(IF(BA10="",G10,BA10)*BB10,"")</f>
        <v/>
      </c>
      <c r="BE10" s="17" t="s">
        <v>236</v>
      </c>
    </row>
    <row r="11" spans="1:57" ht="30" customHeight="1">
      <c r="A11" s="17" t="s">
        <v>23</v>
      </c>
      <c r="B11" s="17" t="s">
        <v>24</v>
      </c>
      <c r="D11" s="17" t="s">
        <v>12</v>
      </c>
      <c r="F11" s="17" t="s">
        <v>25</v>
      </c>
      <c r="G11" s="17">
        <f>CEILING(BoardQty*1.0,1)</f>
        <v>1</v>
      </c>
      <c r="H11" s="18">
        <f>IF(MIN(L11,R11,X11,AD11,AJ11,AP11,AV11,BB11)&lt;&gt;0,MIN(L11,R11,X11,AD11,AJ11,AP11,AV11,BB11),"")</f>
        <v>0.95</v>
      </c>
      <c r="I11" s="19">
        <f>IF(AND(ISNUMBER(G11),ISNUMBER(H11)),G11*H11,"")</f>
        <v>0.95</v>
      </c>
      <c r="J11" s="20" t="s">
        <v>106</v>
      </c>
      <c r="K11" s="17"/>
      <c r="O11" s="17" t="s">
        <v>25</v>
      </c>
      <c r="P11" s="20" t="s">
        <v>106</v>
      </c>
      <c r="Q11" s="17"/>
      <c r="R11" s="18">
        <f>IFERROR(IF(OR(Q11&gt;=S11,G11&gt;=S11),LOOKUP(IF(Q11="",G11,Q11),{0,1,10,50,100,500,1000,2500},{0.0,0.95,0.7,0.5596,0.4797,0.37976,0.31979,0.2998}),"MOQ="&amp;S11),"")</f>
        <v>0.95</v>
      </c>
      <c r="S11" s="17">
        <v>1</v>
      </c>
      <c r="T11" s="19">
        <f>IFERROR(IF(Q11="",G11,Q11)*R11,"")</f>
        <v>0.95</v>
      </c>
      <c r="U11" s="17" t="s">
        <v>123</v>
      </c>
      <c r="V11" s="17">
        <v>2707</v>
      </c>
      <c r="W11" s="17"/>
      <c r="X11" s="18">
        <f>IFERROR(IF(OR(W11&gt;=Y11,G11&gt;=Y11),USD_GBP*LOOKUP(IF(W11="",G11,W11),{0,1,5,10,50,250,500,2500},{0.0,1.04,1.04,1.04,0.741,0.563,0.469,0.399}),"MOQ="&amp;Y11),"")</f>
        <v/>
      </c>
      <c r="Y11" s="17">
        <v>5</v>
      </c>
      <c r="Z11" s="19">
        <f>IFERROR(IF(W11="",G11,W11)*X11,"")</f>
        <v/>
      </c>
      <c r="AA11" s="17" t="s">
        <v>146</v>
      </c>
      <c r="AH11" s="17">
        <v>667</v>
      </c>
      <c r="AI11" s="17"/>
      <c r="AJ11" s="18">
        <f>IFERROR(IF(OR(AI11&gt;=AK11,G11&gt;=AK11),LOOKUP(IF(AI11="",G11,AI11),{0,1,10,50,100,1000,10000},{0.0,2.54,2.06,2.06,1.54,1.18,1.13}),"MOQ="&amp;AK11),"")</f>
        <v>2.54</v>
      </c>
      <c r="AK11" s="17">
        <v>1</v>
      </c>
      <c r="AL11" s="19">
        <f>IFERROR(IF(AI11="",G11,AI11)*AJ11,"")</f>
        <v>2.54</v>
      </c>
      <c r="AM11" s="17" t="s">
        <v>178</v>
      </c>
      <c r="AN11" s="17">
        <v>336</v>
      </c>
      <c r="AO11" s="17"/>
      <c r="AP11" s="18">
        <f>IFERROR(IF(OR(AO11&gt;=AQ11,G11&gt;=AQ11),LOOKUP(IF(AO11="",G11,AO11),{0,1,5,10,25,50,100,250,500,1000,2500,5000,10000,20000,30000,50000},{0.0,1.66,1.12,1.28,1.16,1.04,0.925,0.828,0.729,0.522,0.486,0.578,0.54,0.51,0.48,0.462}),"MOQ="&amp;AQ11),"")</f>
        <v>1.66</v>
      </c>
      <c r="AQ11" s="17">
        <v>1</v>
      </c>
      <c r="AR11" s="19">
        <f>IFERROR(IF(AO11="",G11,AO11)*AP11,"")</f>
        <v>1.66</v>
      </c>
      <c r="AS11" s="17" t="s">
        <v>200</v>
      </c>
      <c r="AT11" s="17">
        <v>26405</v>
      </c>
      <c r="AU11" s="17"/>
      <c r="AV11" s="18">
        <f>IFERROR(IF(OR(AU11&gt;=AW11,G11&gt;=AW11),USD_GBP*LOOKUP(IF(AU11="",G11,AU11),{0,1,5,50,250,375,750,2500,5000},{0.0,2.438,2.438,1.842,1.34,1.26,1.226,0.887,0.865}),"MOQ="&amp;AW11),"")</f>
        <v/>
      </c>
      <c r="AW11" s="17">
        <v>5</v>
      </c>
      <c r="AX11" s="19">
        <f>IFERROR(IF(AU11="",G11,AU11)*AV11,"")</f>
        <v/>
      </c>
      <c r="AY11" s="17" t="s">
        <v>222</v>
      </c>
    </row>
    <row r="12" spans="1:57" ht="30" customHeight="1">
      <c r="A12" s="17" t="s">
        <v>26</v>
      </c>
      <c r="B12" s="17" t="s">
        <v>27</v>
      </c>
      <c r="D12" s="17" t="s">
        <v>12</v>
      </c>
      <c r="F12" s="17" t="s">
        <v>28</v>
      </c>
      <c r="G12" s="17">
        <f>CEILING(BoardQty*1.0,1)</f>
        <v>1</v>
      </c>
      <c r="H12" s="18">
        <f>IF(MIN(L12,R12,X12,AD12,AJ12,AP12,AV12,BB12)&lt;&gt;0,MIN(L12,R12,X12,AD12,AJ12,AP12,AV12,BB12),"")</f>
        <v>0.13</v>
      </c>
      <c r="I12" s="19">
        <f>IF(AND(ISNUMBER(G12),ISNUMBER(H12)),G12*H12,"")</f>
        <v>0.13</v>
      </c>
      <c r="J12" s="17">
        <v>60000</v>
      </c>
      <c r="K12" s="17"/>
      <c r="L12" s="18">
        <f>IFERROR(IF(OR(K12&gt;=M12,G12&gt;=M12),LOOKUP(IF(K12="",G12,K12),{0,1,10,25,100,250,500,1000,3000,6000},{0.0,0.1577,0.1361,0.1054,0.0661,0.0648,0.055,0.049,0.0446,0.0343}),"MOQ="&amp;M12),"")</f>
        <v>0.1577</v>
      </c>
      <c r="M12" s="17">
        <v>1</v>
      </c>
      <c r="N12" s="19">
        <f>IFERROR(IF(K12="",G12,K12)*L12,"")</f>
        <v>0.1577</v>
      </c>
      <c r="O12" s="17" t="s">
        <v>28</v>
      </c>
      <c r="P12" s="20" t="s">
        <v>106</v>
      </c>
      <c r="Q12" s="17"/>
      <c r="R12" s="18">
        <f>IFERROR(IF(OR(Q12&gt;=S12,G12&gt;=S12),LOOKUP(IF(Q12="",G12,Q12),{0,1,10,50,100,500,1000,4000},{0.0,0.13,0.095,0.0538,0.0445,0.03122,0.02584,0.02201}),"MOQ="&amp;S12),"")</f>
        <v>0.13</v>
      </c>
      <c r="S12" s="17">
        <v>1</v>
      </c>
      <c r="T12" s="19">
        <f>IFERROR(IF(Q12="",G12,Q12)*R12,"")</f>
        <v>0.13</v>
      </c>
      <c r="U12" s="17" t="s">
        <v>124</v>
      </c>
      <c r="V12" s="17">
        <v>1068000</v>
      </c>
      <c r="W12" s="17"/>
      <c r="X12" s="18">
        <f>IFERROR(IF(OR(W12&gt;=Y12,G12&gt;=Y12),USD_GBP*LOOKUP(IF(W12="",G12,W12),{0,1,10,100,150,500,1000,4000},{0.0,0.0754,0.0754,0.0501,0.0501,0.0378,0.0333,0.0274}),"MOQ="&amp;Y12),"")</f>
        <v/>
      </c>
      <c r="Y12" s="17">
        <v>10</v>
      </c>
      <c r="Z12" s="19">
        <f>IFERROR(IF(W12="",G12,W12)*X12,"")</f>
        <v/>
      </c>
      <c r="AA12" s="17" t="s">
        <v>147</v>
      </c>
      <c r="AH12" s="17">
        <v>222168</v>
      </c>
      <c r="AI12" s="17"/>
      <c r="AJ12" s="18">
        <f>IFERROR(IF(OR(AI12&gt;=AK12,G12&gt;=AK12),LOOKUP(IF(AI12="",G12,AI12),{0,1,10,50,100,1000,10000},{0.0,0.13,0.065,0.065,0.054,0.031,0.025}),"MOQ="&amp;AK12),"")</f>
        <v>0.13</v>
      </c>
      <c r="AK12" s="17">
        <v>1</v>
      </c>
      <c r="AL12" s="19">
        <f>IFERROR(IF(AI12="",G12,AI12)*AJ12,"")</f>
        <v>0.13</v>
      </c>
      <c r="AM12" s="17" t="s">
        <v>179</v>
      </c>
      <c r="AN12" s="17">
        <v>1284000</v>
      </c>
      <c r="AO12" s="17"/>
      <c r="AP12" s="18">
        <f>IFERROR(IF(OR(AO12&gt;=AQ12,G12&gt;=AQ12),LOOKUP(IF(AO12="",G12,AO12),{0,1,10,25,50,100,250,500,1000,4000,8000,20000},{0.0,0.258,0.254,0.174,0.133,0.093,0.08,0.067,0.056,0.046,0.044,0.03}),"MOQ="&amp;AQ12),"")</f>
        <v>0.258</v>
      </c>
      <c r="AQ12" s="17">
        <v>1</v>
      </c>
      <c r="AR12" s="19">
        <f>IFERROR(IF(AO12="",G12,AO12)*AP12,"")</f>
        <v>0.258</v>
      </c>
      <c r="AS12" s="17" t="s">
        <v>201</v>
      </c>
      <c r="AT12" s="17">
        <v>709490</v>
      </c>
      <c r="AU12" s="17"/>
      <c r="AV12" s="18">
        <f>IFERROR(IF(OR(AU12&gt;=AW12,G12&gt;=AW12),USD_GBP*LOOKUP(IF(AU12="",G12,AU12),{0,1,10,100,250,500,1000,4000},{0.0,0.099,0.099,0.091,0.082,0.07,0.062,0.036}),"MOQ="&amp;AW12),"")</f>
        <v/>
      </c>
      <c r="AW12" s="17">
        <v>10</v>
      </c>
      <c r="AX12" s="19">
        <f>IFERROR(IF(AU12="",G12,AU12)*AV12,"")</f>
        <v/>
      </c>
      <c r="AY12" s="17" t="s">
        <v>223</v>
      </c>
      <c r="AZ12" s="17">
        <v>3500</v>
      </c>
      <c r="BA12" s="17"/>
      <c r="BB12" s="18">
        <f>IFERROR(IF(OR(BA12&gt;=BC12,G12&gt;=BC12),USD_GBP*LOOKUP(IF(BA12="",G12,BA12),{0,1,100,1000,4000},{0.0,0.0972,0.0972,0.04718,0.03022}),"MOQ="&amp;BC12),"")</f>
        <v/>
      </c>
      <c r="BC12" s="17">
        <v>100</v>
      </c>
      <c r="BD12" s="19">
        <f>IFERROR(IF(BA12="",G12,BA12)*BB12,"")</f>
        <v/>
      </c>
      <c r="BE12" s="17" t="s">
        <v>237</v>
      </c>
    </row>
    <row r="13" spans="1:57" ht="30" customHeight="1">
      <c r="A13" s="17" t="s">
        <v>29</v>
      </c>
      <c r="B13" s="17" t="s">
        <v>30</v>
      </c>
      <c r="D13" s="17" t="s">
        <v>12</v>
      </c>
      <c r="F13" s="17" t="s">
        <v>31</v>
      </c>
      <c r="G13" s="17">
        <f>CEILING(BoardQty*1.0,1)</f>
        <v>1</v>
      </c>
      <c r="H13" s="18">
        <f>IF(MIN(L13,R13,X13,AD13,AJ13,AP13,AV13,BB13)&lt;&gt;0,MIN(L13,R13,X13,AD13,AJ13,AP13,AV13,BB13),"")</f>
        <v>0.15</v>
      </c>
      <c r="I13" s="19">
        <f>IF(AND(ISNUMBER(G13),ISNUMBER(H13)),G13*H13,"")</f>
        <v>0.15</v>
      </c>
      <c r="J13" s="17">
        <v>63000</v>
      </c>
      <c r="K13" s="17"/>
      <c r="L13" s="18">
        <f>IFERROR(IF(OR(K13&gt;=M13,G13&gt;=M13),LOOKUP(IF(K13="",G13,K13),{0,1,3000,6000,9000,12000,15000,24000},{0.0,0.085,0.085,0.0807,0.0785,0.0773,0.0748,0.0716}),"MOQ="&amp;M13),"")</f>
        <v/>
      </c>
      <c r="M13" s="17">
        <v>3000</v>
      </c>
      <c r="N13" s="19">
        <f>IFERROR(IF(K13="",G13,K13)*L13,"")</f>
        <v/>
      </c>
      <c r="O13" s="17" t="s">
        <v>31</v>
      </c>
      <c r="P13" s="20" t="s">
        <v>106</v>
      </c>
      <c r="Q13" s="17"/>
      <c r="R13" s="18">
        <f>IFERROR(IF(OR(Q13&gt;=S13,G13&gt;=S13),LOOKUP(IF(Q13="",G13,Q13),{0,1,10,50,100,500,1000,3000},{0.0,0.15,0.106,0.0604,0.05,0.03508,0.02904,0.02703}),"MOQ="&amp;S13),"")</f>
        <v>0.15</v>
      </c>
      <c r="S13" s="17">
        <v>1</v>
      </c>
      <c r="T13" s="19">
        <f>IFERROR(IF(Q13="",G13,Q13)*R13,"")</f>
        <v>0.15</v>
      </c>
      <c r="U13" s="17" t="s">
        <v>125</v>
      </c>
      <c r="V13" s="17">
        <v>84000</v>
      </c>
      <c r="W13" s="17"/>
      <c r="X13" s="18">
        <f>IFERROR(IF(OR(W13&gt;=Y13,G13&gt;=Y13),USD_GBP*LOOKUP(IF(W13="",G13,W13),{0,1,5,50,150,250,500,1500,3000},{0.0,0.131,0.131,0.0786,0.0786,0.0655,0.0577,0.0468,0.045}),"MOQ="&amp;Y13),"")</f>
        <v/>
      </c>
      <c r="Y13" s="17">
        <v>5</v>
      </c>
      <c r="Z13" s="19">
        <f>IFERROR(IF(W13="",G13,W13)*X13,"")</f>
        <v/>
      </c>
      <c r="AA13" s="17" t="s">
        <v>148</v>
      </c>
      <c r="AH13" s="17">
        <v>781972</v>
      </c>
      <c r="AI13" s="17"/>
      <c r="AJ13" s="18">
        <f>IFERROR(IF(OR(AI13&gt;=AK13,G13&gt;=AK13),LOOKUP(IF(AI13="",G13,AI13),{0,1,10,50,100,1000,10000},{0.0,0.95,0.632,0.632,0.397,0.322,0.215}),"MOQ="&amp;AK13),"")</f>
        <v>0.95</v>
      </c>
      <c r="AK13" s="17">
        <v>1</v>
      </c>
      <c r="AL13" s="19">
        <f>IFERROR(IF(AI13="",G13,AI13)*AJ13,"")</f>
        <v>0.95</v>
      </c>
      <c r="AM13" s="17" t="s">
        <v>180</v>
      </c>
      <c r="AN13" s="17">
        <v>165000</v>
      </c>
      <c r="AO13" s="17"/>
      <c r="AP13" s="18">
        <f>IFERROR(IF(OR(AO13&gt;=AQ13,G13&gt;=AQ13),LOOKUP(IF(AO13="",G13,AO13),{0,1,5,10,25,50,100,250,500,1000,3000,6000,12000},{0.0,0.222,0.33,0.178,0.379,0.355,0.33,0.309,0.286,0.268,0.215,0.206,0.197}),"MOQ="&amp;AQ13),"")</f>
        <v>0.222</v>
      </c>
      <c r="AQ13" s="17">
        <v>1</v>
      </c>
      <c r="AR13" s="19">
        <f>IFERROR(IF(AO13="",G13,AO13)*AP13,"")</f>
        <v>0.222</v>
      </c>
      <c r="AS13" s="17" t="s">
        <v>202</v>
      </c>
      <c r="AT13" s="17">
        <v>2800</v>
      </c>
      <c r="AU13" s="17"/>
      <c r="AV13" s="18">
        <f>IFERROR(IF(OR(AU13&gt;=AW13,G13&gt;=AW13),USD_GBP*LOOKUP(IF(AU13="",G13,AU13),{0,1,100,600,1500,3000},{0.0,0.079,0.079,0.063,0.047,0.046}),"MOQ="&amp;AW13),"")</f>
        <v/>
      </c>
      <c r="AW13" s="17">
        <v>100</v>
      </c>
      <c r="AX13" s="19">
        <f>IFERROR(IF(AU13="",G13,AU13)*AV13,"")</f>
        <v/>
      </c>
      <c r="AY13" s="17" t="s">
        <v>224</v>
      </c>
      <c r="AZ13" s="17">
        <v>486</v>
      </c>
      <c r="BA13" s="17"/>
      <c r="BB13" s="18">
        <f>IFERROR(IF(OR(BA13&gt;=BC13,G13&gt;=BC13),USD_GBP*LOOKUP(IF(BA13="",G13,BA13),{0,1,10,100,1000,3000,12000},{0.0,0.158,0.158,0.0455,0.02689,0.02238,0.02162}),"MOQ="&amp;BC13),"")</f>
        <v/>
      </c>
      <c r="BC13" s="17">
        <v>10</v>
      </c>
      <c r="BD13" s="19">
        <f>IFERROR(IF(BA13="",G13,BA13)*BB13,"")</f>
        <v/>
      </c>
      <c r="BE13" s="17" t="s">
        <v>238</v>
      </c>
    </row>
    <row r="14" spans="1:57">
      <c r="A14" s="17" t="s">
        <v>32</v>
      </c>
      <c r="B14" s="17" t="s">
        <v>33</v>
      </c>
      <c r="D14" s="17" t="s">
        <v>34</v>
      </c>
      <c r="F14" s="17" t="s">
        <v>35</v>
      </c>
      <c r="G14" s="17">
        <f>CEILING(BoardQty*1.0,1)</f>
        <v>1</v>
      </c>
      <c r="H14" s="18">
        <f>IF(MIN(L14,R14,X14,AD14,AJ14,AP14,AV14,BB14)&lt;&gt;0,MIN(L14,R14,X14,AD14,AJ14,AP14,AV14,BB14),"")</f>
        <v>0.29</v>
      </c>
      <c r="I14" s="19">
        <f>IF(AND(ISNUMBER(G14),ISNUMBER(H14)),G14*H14,"")</f>
        <v>0.29</v>
      </c>
      <c r="J14" s="17">
        <v>30218</v>
      </c>
      <c r="K14" s="17"/>
      <c r="L14" s="18">
        <f>IFERROR(IF(OR(K14&gt;=M14,G14&gt;=M14),LOOKUP(IF(K14="",G14,K14),{0,1,200,500,1000,2500},{0.0,0.0706,0.0706,0.06,0.0534,0.0521}),"MOQ="&amp;M14),"")</f>
        <v/>
      </c>
      <c r="M14" s="17">
        <v>200</v>
      </c>
      <c r="N14" s="19">
        <f>IFERROR(IF(K14="",G14,K14)*L14,"")</f>
        <v/>
      </c>
      <c r="O14" s="17" t="s">
        <v>107</v>
      </c>
      <c r="P14" s="17">
        <v>389</v>
      </c>
      <c r="Q14" s="17"/>
      <c r="R14" s="18">
        <f>IFERROR(IF(OR(Q14&gt;=S14,G14&gt;=S14),LOOKUP(IF(Q14="",G14,Q14),{0,1,10,50,100,500,1000,2500,5000},{0.0,0.3,0.203,0.1352,0.115,0.08114,0.071,0.06762,0.06255}),"MOQ="&amp;S14),"")</f>
        <v>0.3</v>
      </c>
      <c r="S14" s="17">
        <v>1</v>
      </c>
      <c r="T14" s="19">
        <f>IFERROR(IF(Q14="",G14,Q14)*R14,"")</f>
        <v>0.3</v>
      </c>
      <c r="U14" s="17" t="s">
        <v>126</v>
      </c>
      <c r="V14" s="17">
        <v>32858</v>
      </c>
      <c r="W14" s="17"/>
      <c r="X14" s="18">
        <f>IFERROR(IF(OR(W14&gt;=Y14,G14&gt;=Y14),USD_GBP*LOOKUP(IF(W14="",G14,W14),{0,1,5,10,25},{0.0,0.378,0.318,0.256,0.251}),"MOQ="&amp;Y14),"")</f>
        <v>0.5226246577274277</v>
      </c>
      <c r="Y14" s="17">
        <v>1</v>
      </c>
      <c r="Z14" s="19">
        <f>IFERROR(IF(W14="",G14,W14)*X14,"")</f>
        <v>0.5226</v>
      </c>
      <c r="AA14" s="17" t="s">
        <v>149</v>
      </c>
      <c r="AH14" s="17">
        <v>119</v>
      </c>
      <c r="AI14" s="17"/>
      <c r="AJ14" s="18">
        <f>IFERROR(IF(OR(AI14&gt;=AK14,G14&gt;=AK14),LOOKUP(IF(AI14="",G14,AI14),{0,1,10,50,100,1000,10000},{0.0,0.29,0.203,0.203,0.115,0.071,0.053}),"MOQ="&amp;AK14),"")</f>
        <v>0.29</v>
      </c>
      <c r="AK14" s="17">
        <v>1</v>
      </c>
      <c r="AL14" s="19">
        <f>IFERROR(IF(AI14="",G14,AI14)*AJ14,"")</f>
        <v>0.29</v>
      </c>
      <c r="AM14" s="17" t="s">
        <v>181</v>
      </c>
      <c r="AN14" s="17">
        <v>37204</v>
      </c>
      <c r="AO14" s="17"/>
      <c r="AP14" s="18">
        <f>IFERROR(IF(OR(AO14&gt;=AQ14,G14&gt;=AQ14),LOOKUP(IF(AO14="",G14,AO14),{0,1,10,25,50,100,200,500,1000,2500},{0.0,0.316,0.22,0.176,0.133,0.088,0.09,0.081,0.072,0.069}),"MOQ="&amp;AQ14),"")</f>
        <v>0.316</v>
      </c>
      <c r="AQ14" s="17">
        <v>1</v>
      </c>
      <c r="AR14" s="19">
        <f>IFERROR(IF(AO14="",G14,AO14)*AP14,"")</f>
        <v>0.316</v>
      </c>
      <c r="AS14" s="17" t="s">
        <v>203</v>
      </c>
      <c r="AT14" s="17">
        <v>3800</v>
      </c>
      <c r="AU14" s="17"/>
      <c r="AV14" s="18">
        <f>IFERROR(IF(OR(AU14&gt;=AW14,G14&gt;=AW14),USD_GBP*LOOKUP(IF(AU14="",G14,AU14),{0,1,5,200,250,500,2500,5000},{0.0,0.218,0.218,0.084,0.07,0.058,0.05,0.044}),"MOQ="&amp;AW14),"")</f>
        <v/>
      </c>
      <c r="AW14" s="17">
        <v>5</v>
      </c>
      <c r="AX14" s="19">
        <f>IFERROR(IF(AU14="",G14,AU14)*AV14,"")</f>
        <v/>
      </c>
      <c r="AY14" s="17" t="s">
        <v>225</v>
      </c>
      <c r="AZ14" s="17">
        <v>1</v>
      </c>
      <c r="BA14" s="17"/>
      <c r="BB14" s="18">
        <f>IFERROR(IF(OR(BA14&gt;=BC14,G14&gt;=BC14),USD_GBP*LOOKUP(IF(BA14="",G14,BA14),{0,1,10,100,200,1000,2000},{0.0,0.112,0.112,0.0796,0.05685,0.04467,0.03925}),"MOQ="&amp;BC14),"")</f>
        <v/>
      </c>
      <c r="BC14" s="17">
        <v>10</v>
      </c>
      <c r="BD14" s="19">
        <f>IFERROR(IF(BA14="",G14,BA14)*BB14,"")</f>
        <v/>
      </c>
      <c r="BE14" s="17" t="s">
        <v>107</v>
      </c>
    </row>
    <row r="15" spans="1:57">
      <c r="A15" s="17" t="s">
        <v>36</v>
      </c>
      <c r="B15" s="17" t="s">
        <v>37</v>
      </c>
      <c r="D15" s="17" t="s">
        <v>38</v>
      </c>
      <c r="F15" s="17" t="s">
        <v>37</v>
      </c>
      <c r="G15" s="17">
        <f>CEILING(BoardQty*3.0,1)</f>
        <v>3</v>
      </c>
      <c r="H15" s="18">
        <f>IF(MIN(L15,R15,X15,AD15,AJ15,AP15,AV15,BB15)&lt;&gt;0,MIN(L15,R15,X15,AD15,AJ15,AP15,AV15,BB15),"")</f>
        <v>0.1</v>
      </c>
      <c r="I15" s="19">
        <f>IF(AND(ISNUMBER(G15),ISNUMBER(H15)),G15*H15,"")</f>
        <v>0.3</v>
      </c>
      <c r="J15" s="17">
        <v>58127</v>
      </c>
      <c r="K15" s="17"/>
      <c r="L15" s="18">
        <f>IFERROR(IF(OR(K15&gt;=M15,G15&gt;=M15),LOOKUP(IF(K15="",G15,K15),{0,1,10,100,500,1000,2500},{0.0,0.1189,0.0693,0.0309,0.0287,0.0195,0.0141}),"MOQ="&amp;M15),"")</f>
        <v>0.1189</v>
      </c>
      <c r="M15" s="17">
        <v>1</v>
      </c>
      <c r="N15" s="19">
        <f>IFERROR(IF(K15="",G15,K15)*L15,"")</f>
        <v>0.3567</v>
      </c>
      <c r="O15" s="17" t="s">
        <v>37</v>
      </c>
      <c r="P15" s="17">
        <v>79124</v>
      </c>
      <c r="Q15" s="17"/>
      <c r="R15" s="18">
        <f>IFERROR(IF(OR(Q15&gt;=S15,G15&gt;=S15),LOOKUP(IF(Q15="",G15,Q15),{0,1,10,100,500,1000,2000,5000,10000,50000},{0.0,0.1,0.084,0.0455,0.02798,0.01908,0.01622,0.01463,0.01272,0.0105}),"MOQ="&amp;S15),"")</f>
        <v>0.1</v>
      </c>
      <c r="S15" s="17">
        <v>1</v>
      </c>
      <c r="T15" s="19">
        <f>IFERROR(IF(Q15="",G15,Q15)*R15,"")</f>
        <v>0.3</v>
      </c>
      <c r="U15" s="17" t="s">
        <v>127</v>
      </c>
      <c r="V15" s="17">
        <v>129581</v>
      </c>
      <c r="W15" s="17"/>
      <c r="X15" s="18">
        <f>IFERROR(IF(OR(W15&gt;=Y15,G15&gt;=Y15),USD_GBP*LOOKUP(IF(W15="",G15,W15),{0,1,5,10,100,500},{0.0,0.119,0.119,0.088,0.0335,0.0321}),"MOQ="&amp;Y15),"")</f>
        <v/>
      </c>
      <c r="Y15" s="17">
        <v>5</v>
      </c>
      <c r="Z15" s="19">
        <f>IFERROR(IF(W15="",G15,W15)*X15,"")</f>
        <v/>
      </c>
      <c r="AA15" s="17" t="s">
        <v>150</v>
      </c>
      <c r="AH15" s="17">
        <v>97396</v>
      </c>
      <c r="AI15" s="17"/>
      <c r="AJ15" s="18">
        <f>IFERROR(IF(OR(AI15&gt;=AK15,G15&gt;=AK15),LOOKUP(IF(AI15="",G15,AI15),{0,1,10,50,100,1000,10000},{0.0,0.1,0.087,0.087,0.048,0.02,0.013}),"MOQ="&amp;AK15),"")</f>
        <v>0.1</v>
      </c>
      <c r="AK15" s="17">
        <v>1</v>
      </c>
      <c r="AL15" s="19">
        <f>IFERROR(IF(AI15="",G15,AI15)*AJ15,"")</f>
        <v>0.3</v>
      </c>
      <c r="AM15" s="17" t="s">
        <v>182</v>
      </c>
      <c r="AN15" s="17">
        <v>1024381</v>
      </c>
      <c r="AO15" s="17"/>
      <c r="AP15" s="18">
        <f>IFERROR(IF(OR(AO15&gt;=AQ15,G15&gt;=AQ15),LOOKUP(IF(AO15="",G15,AO15),{0,1,5,10,25,50,100,500,1000,2500},{0.0,0.119,0.118,0.071,0.029,0.029,0.037,0.031,0.021,0.017}),"MOQ="&amp;AQ15),"")</f>
        <v>0.119</v>
      </c>
      <c r="AQ15" s="17">
        <v>1</v>
      </c>
      <c r="AR15" s="19">
        <f>IFERROR(IF(AO15="",G15,AO15)*AP15,"")</f>
        <v>0.357</v>
      </c>
      <c r="AS15" s="17" t="s">
        <v>204</v>
      </c>
      <c r="AZ15" s="17">
        <v>5460</v>
      </c>
      <c r="BA15" s="17"/>
      <c r="BB15" s="18">
        <f>IFERROR(IF(OR(BA15&gt;=BC15,G15&gt;=BC15),USD_GBP*LOOKUP(IF(BA15="",G15,BA15),{0,1,30,100,250,1000,5000},{0.0,0.024,0.024,0.0118,0.01048,0.0089,0.00801}),"MOQ="&amp;BC15),"")</f>
        <v/>
      </c>
      <c r="BC15" s="17">
        <v>30</v>
      </c>
      <c r="BD15" s="19">
        <f>IFERROR(IF(BA15="",G15,BA15)*BB15,"")</f>
        <v/>
      </c>
      <c r="BE15" s="17" t="s">
        <v>239</v>
      </c>
    </row>
    <row r="16" spans="1:57">
      <c r="A16" s="17" t="s">
        <v>39</v>
      </c>
      <c r="B16" s="17" t="s">
        <v>40</v>
      </c>
      <c r="D16" s="17" t="s">
        <v>41</v>
      </c>
      <c r="F16" s="17" t="s">
        <v>42</v>
      </c>
      <c r="G16" s="17">
        <f>CEILING(BoardQty*1.0,1)</f>
        <v>1</v>
      </c>
      <c r="H16" s="18">
        <f>IF(MIN(L16,R16,X16,AD16,AJ16,AP16,AV16,BB16)&lt;&gt;0,MIN(L16,R16,X16,AD16,AJ16,AP16,AV16,BB16),"")</f>
        <v>0.28</v>
      </c>
      <c r="I16" s="19">
        <f>IF(AND(ISNUMBER(G16),ISNUMBER(H16)),G16*H16,"")</f>
        <v>0.28</v>
      </c>
      <c r="P16" s="17">
        <v>7317</v>
      </c>
      <c r="Q16" s="17"/>
      <c r="R16" s="18">
        <f>IFERROR(IF(OR(Q16&gt;=S16,G16&gt;=S16),LOOKUP(IF(Q16="",G16,Q16),{0,1,10,100,500,1000},{0.0,1.22,0.775,0.5736,0.52708,0.43875}),"MOQ="&amp;S16),"")</f>
        <v>1.22</v>
      </c>
      <c r="S16" s="17">
        <v>1</v>
      </c>
      <c r="T16" s="19">
        <f>IFERROR(IF(Q16="",G16,Q16)*R16,"")</f>
        <v>1.22</v>
      </c>
      <c r="U16" s="17" t="s">
        <v>128</v>
      </c>
      <c r="V16" s="17">
        <v>11631</v>
      </c>
      <c r="W16" s="17"/>
      <c r="X16" s="18">
        <f>IFERROR(IF(OR(W16&gt;=Y16,G16&gt;=Y16),USD_GBP*LOOKUP(IF(W16="",G16,W16),{0,1,10,25,50},{0.0,1.3,0.79,0.774,0.758}),"MOQ="&amp;Y16),"")</f>
        <v>1.7973863890096722</v>
      </c>
      <c r="Y16" s="17">
        <v>1</v>
      </c>
      <c r="Z16" s="19">
        <f>IFERROR(IF(W16="",G16,W16)*X16,"")</f>
        <v>1.7974</v>
      </c>
      <c r="AA16" s="17" t="s">
        <v>151</v>
      </c>
      <c r="AH16" s="17">
        <v>12941</v>
      </c>
      <c r="AI16" s="17"/>
      <c r="AJ16" s="18">
        <f>IFERROR(IF(OR(AI16&gt;=AK16,G16&gt;=AK16),LOOKUP(IF(AI16="",G16,AI16),{0,1,10,50,100,1000,10000},{0.0,1.22,0.775,0.775,0.574,0.425,0.409}),"MOQ="&amp;AK16),"")</f>
        <v>1.22</v>
      </c>
      <c r="AK16" s="17">
        <v>1</v>
      </c>
      <c r="AL16" s="19">
        <f>IFERROR(IF(AI16="",G16,AI16)*AJ16,"")</f>
        <v>1.22</v>
      </c>
      <c r="AM16" s="17" t="s">
        <v>183</v>
      </c>
      <c r="AN16" s="17">
        <v>622</v>
      </c>
      <c r="AO16" s="17"/>
      <c r="AP16" s="18">
        <f>IFERROR(IF(OR(AO16&gt;=AQ16,G16&gt;=AQ16),LOOKUP(IF(AO16="",G16,AO16),{0,1,10,100,500,1000,2500},{0.0,0.28,0.28,0.28,0.28,0.28,0.28}),"MOQ="&amp;AQ16),"")</f>
        <v>0.28</v>
      </c>
      <c r="AQ16" s="17">
        <v>1</v>
      </c>
      <c r="AR16" s="19">
        <f>IFERROR(IF(AO16="",G16,AO16)*AP16,"")</f>
        <v>0.28</v>
      </c>
      <c r="AS16" s="17" t="s">
        <v>205</v>
      </c>
      <c r="AZ16" s="17">
        <v>2262</v>
      </c>
      <c r="BA16" s="17"/>
      <c r="BB16" s="18">
        <f>IFERROR(IF(OR(BA16&gt;=BC16,G16&gt;=BC16),USD_GBP*LOOKUP(IF(BA16="",G16,BA16),{0,1,5,25,100,500},{0.0,0.63,0.432,0.3368,0.2943,0.2858}),"MOQ="&amp;BC16),"")</f>
        <v>0.8710410962123796</v>
      </c>
      <c r="BC16" s="17">
        <v>1</v>
      </c>
      <c r="BD16" s="19">
        <f>IFERROR(IF(BA16="",G16,BA16)*BB16,"")</f>
        <v>0.871</v>
      </c>
      <c r="BE16" s="17" t="s">
        <v>240</v>
      </c>
    </row>
    <row r="17" spans="1:57">
      <c r="A17" s="17" t="s">
        <v>43</v>
      </c>
      <c r="B17" s="17" t="s">
        <v>44</v>
      </c>
      <c r="D17" s="17" t="s">
        <v>45</v>
      </c>
      <c r="F17" s="17" t="s">
        <v>46</v>
      </c>
      <c r="G17" s="17">
        <f>CEILING(BoardQty*1.0,1)</f>
        <v>1</v>
      </c>
      <c r="H17" s="18">
        <f>IF(MIN(L17,R17,X17,AD17,AJ17,AP17,AV17,BB17)&lt;&gt;0,MIN(L17,R17,X17,AD17,AJ17,AP17,AV17,BB17),"")</f>
        <v>0.41</v>
      </c>
      <c r="I17" s="19">
        <f>IF(AND(ISNUMBER(G17),ISNUMBER(H17)),G17*H17,"")</f>
        <v>0.41</v>
      </c>
      <c r="J17" s="20" t="s">
        <v>106</v>
      </c>
      <c r="K17" s="17"/>
      <c r="L17" s="18">
        <f>IFERROR(IF(OR(K17&gt;=M17,G17&gt;=M17),LOOKUP(IF(K17="",G17,K17),{0,1,1500,3000,6000,9000,12000,15000,24000},{0.0,0.0877,0.0877,0.0868,0.0859,0.0833,0.0825,0.0816,0.0804}),"MOQ="&amp;M17),"")</f>
        <v/>
      </c>
      <c r="M17" s="17">
        <v>1500</v>
      </c>
      <c r="N17" s="19">
        <f>IFERROR(IF(K17="",G17,K17)*L17,"")</f>
        <v/>
      </c>
      <c r="O17" s="17" t="s">
        <v>46</v>
      </c>
      <c r="P17" s="17">
        <v>3</v>
      </c>
      <c r="Q17" s="17"/>
      <c r="R17" s="18">
        <f>IFERROR(IF(OR(Q17&gt;=S17,G17&gt;=S17),LOOKUP(IF(Q17="",G17,Q17),{0,1,10,25,100,250,500,1000,2500},{0.0,0.41,0.334,0.3052,0.2273,0.20596,0.17044,0.12784,0.11725}),"MOQ="&amp;S17),"")</f>
        <v>0.41</v>
      </c>
      <c r="S17" s="17">
        <v>1</v>
      </c>
      <c r="T17" s="19">
        <f>IFERROR(IF(Q17="",G17,Q17)*R17,"")</f>
        <v>0.41</v>
      </c>
      <c r="U17" s="17" t="s">
        <v>129</v>
      </c>
      <c r="V17" s="17">
        <v>59</v>
      </c>
      <c r="W17" s="17"/>
      <c r="X17" s="18">
        <f>IFERROR(IF(OR(W17&gt;=Y17,G17&gt;=Y17),USD_GBP*LOOKUP(IF(W17="",G17,W17),{0,1,10,100,500,1000},{0.0,0.43,0.344,0.337,0.33,0.323}),"MOQ="&amp;Y17),"")</f>
        <v>0.5945201132878146</v>
      </c>
      <c r="Y17" s="17">
        <v>1</v>
      </c>
      <c r="Z17" s="19">
        <f>IFERROR(IF(W17="",G17,W17)*X17,"")</f>
        <v>0.5945</v>
      </c>
      <c r="AA17" s="17" t="s">
        <v>152</v>
      </c>
      <c r="AH17" s="17">
        <v>7053</v>
      </c>
      <c r="AI17" s="17"/>
      <c r="AJ17" s="18">
        <f>IFERROR(IF(OR(AI17&gt;=AK17,G17&gt;=AK17),LOOKUP(IF(AI17="",G17,AI17),{0,1,10,50,100,1000,10000},{0.0,0.41,0.334,0.334,0.334,0.334,0.334}),"MOQ="&amp;AK17),"")</f>
        <v>0.41</v>
      </c>
      <c r="AK17" s="17">
        <v>1</v>
      </c>
      <c r="AL17" s="19">
        <f>IFERROR(IF(AI17="",G17,AI17)*AJ17,"")</f>
        <v>0.41</v>
      </c>
      <c r="AM17" s="17" t="s">
        <v>184</v>
      </c>
      <c r="AN17" s="17">
        <v>59</v>
      </c>
      <c r="AO17" s="17"/>
      <c r="AP17" s="18">
        <f>IFERROR(IF(OR(AO17&gt;=AQ17,G17&gt;=AQ17),LOOKUP(IF(AO17="",G17,AO17),{0,1,10,100,500,1000,2500},{0.0,0.451,0.367,0.309,0.289,0.272,0.256}),"MOQ="&amp;AQ17),"")</f>
        <v>0.451</v>
      </c>
      <c r="AQ17" s="17">
        <v>1</v>
      </c>
      <c r="AR17" s="19">
        <f>IFERROR(IF(AO17="",G17,AO17)*AP17,"")</f>
        <v>0.451</v>
      </c>
      <c r="AS17" s="17" t="s">
        <v>206</v>
      </c>
      <c r="AZ17" s="17">
        <v>466</v>
      </c>
      <c r="BA17" s="17"/>
      <c r="BB17" s="18">
        <f>IFERROR(IF(OR(BA17&gt;=BC17,G17&gt;=BC17),USD_GBP*LOOKUP(IF(BA17="",G17,BA17),{0,1,3,25,75,300},{0.0,0.20667,0.20667,0.162,0.13907,0.10832}),"MOQ="&amp;BC17),"")</f>
        <v/>
      </c>
      <c r="BC17" s="17">
        <v>3</v>
      </c>
      <c r="BD17" s="19">
        <f>IFERROR(IF(BA17="",G17,BA17)*BB17,"")</f>
        <v/>
      </c>
      <c r="BE17" s="17" t="s">
        <v>46</v>
      </c>
    </row>
    <row r="18" spans="1:57">
      <c r="A18" s="17" t="s">
        <v>47</v>
      </c>
      <c r="B18" s="17" t="s">
        <v>48</v>
      </c>
      <c r="D18" s="17" t="s">
        <v>48</v>
      </c>
      <c r="F18" s="17" t="s">
        <v>48</v>
      </c>
      <c r="G18" s="17">
        <f>CEILING(BoardQty*2.0,1)</f>
        <v>2</v>
      </c>
      <c r="H18" s="18">
        <f>IF(MIN(L18,R18,X18,AD18,AJ18,AP18,AV18,BB18)&lt;&gt;0,MIN(L18,R18,X18,AD18,AJ18,AP18,AV18,BB18),"")</f>
        <v>0.86</v>
      </c>
      <c r="I18" s="19">
        <f>IF(AND(ISNUMBER(G18),ISNUMBER(H18)),G18*H18,"")</f>
        <v>1.72</v>
      </c>
      <c r="J18" s="20" t="s">
        <v>106</v>
      </c>
      <c r="K18" s="17"/>
      <c r="L18" s="18">
        <f>IFERROR(IF(OR(K18&gt;=M18,G18&gt;=M18),LOOKUP(IF(K18="",G18,K18),{0,1,1000},{0.0,0.576,0.576}),"MOQ="&amp;M18),"")</f>
        <v/>
      </c>
      <c r="M18" s="17">
        <v>1000</v>
      </c>
      <c r="N18" s="19">
        <f>IFERROR(IF(K18="",G18,K18)*L18,"")</f>
        <v/>
      </c>
      <c r="O18" s="17" t="s">
        <v>108</v>
      </c>
      <c r="P18" s="20" t="s">
        <v>106</v>
      </c>
      <c r="Q18" s="17"/>
      <c r="R18" s="18">
        <f>IFERROR(IF(OR(Q18&gt;=S18,G18&gt;=S18),LOOKUP(IF(Q18="",G18,Q18),{0,1,10,25,50,100,250,500,1000,2500},{0.0,1.39,1.176,1.128,1.104,1.056,0.96,0.864,0.768,0.696}),"MOQ="&amp;S18),"")</f>
        <v>1.39</v>
      </c>
      <c r="S18" s="17">
        <v>1</v>
      </c>
      <c r="T18" s="19">
        <f>IFERROR(IF(Q18="",G18,Q18)*R18,"")</f>
        <v>2.78</v>
      </c>
      <c r="U18" s="17" t="s">
        <v>130</v>
      </c>
      <c r="AH18" s="17">
        <v>1345</v>
      </c>
      <c r="AI18" s="17"/>
      <c r="AJ18" s="18">
        <f>IFERROR(IF(OR(AI18&gt;=AK18,G18&gt;=AK18),LOOKUP(IF(AI18="",G18,AI18),{0,1,10,50,100,1000,10000},{0.0,0.86,0.795,0.776,0.686,0.686,0.686}),"MOQ="&amp;AK18),"")</f>
        <v>0.86</v>
      </c>
      <c r="AK18" s="17">
        <v>1</v>
      </c>
      <c r="AL18" s="19">
        <f>IFERROR(IF(AI18="",G18,AI18)*AJ18,"")</f>
        <v>1.72</v>
      </c>
      <c r="AM18" s="17" t="s">
        <v>185</v>
      </c>
      <c r="AN18" s="20" t="s">
        <v>106</v>
      </c>
      <c r="AO18" s="17"/>
      <c r="AP18" s="18">
        <f>IFERROR(IF(OR(AO18&gt;=AQ18,G18&gt;=AQ18),LOOKUP(IF(AO18="",G18,AO18),{0,1,10,25,50,100,250,500,1000},{0.0,1.33,1.26,1.18,1.11,1.06,0.96,0.864,0.768}),"MOQ="&amp;AQ18),"")</f>
        <v>1.33</v>
      </c>
      <c r="AQ18" s="17">
        <v>1</v>
      </c>
      <c r="AR18" s="19">
        <f>IFERROR(IF(AO18="",G18,AO18)*AP18,"")</f>
        <v>2.66</v>
      </c>
      <c r="AS18" s="17" t="s">
        <v>207</v>
      </c>
      <c r="AZ18" s="17">
        <v>45</v>
      </c>
      <c r="BA18" s="17"/>
      <c r="BB18" s="18">
        <f>IFERROR(IF(OR(BA18&gt;=BC18,G18&gt;=BC18),USD_GBP*LOOKUP(IF(BA18="",G18,BA18),{0,1,5,25,100},{0.0,0.66,0.58,0.45,0.38}),"MOQ="&amp;BC18),"")</f>
        <v>0.9125192436510644</v>
      </c>
      <c r="BC18" s="17">
        <v>1</v>
      </c>
      <c r="BD18" s="19">
        <f>IFERROR(IF(BA18="",G18,BA18)*BB18,"")</f>
        <v>1.825</v>
      </c>
      <c r="BE18" s="17" t="s">
        <v>108</v>
      </c>
    </row>
    <row r="19" spans="1:57" ht="30" customHeight="1">
      <c r="A19" s="17" t="s">
        <v>49</v>
      </c>
      <c r="B19" s="17" t="s">
        <v>50</v>
      </c>
      <c r="C19" s="17" t="s">
        <v>51</v>
      </c>
      <c r="D19" s="17" t="s">
        <v>52</v>
      </c>
      <c r="E19" s="17" t="s">
        <v>53</v>
      </c>
      <c r="F19" s="17" t="s">
        <v>54</v>
      </c>
      <c r="G19" s="17">
        <f>CEILING(BoardQty*1.0,1)</f>
        <v>1</v>
      </c>
      <c r="H19" s="18">
        <f>IF(MIN(L19,R19,X19,AD19,AJ19,AP19,AV19,BB19)&lt;&gt;0,MIN(L19,R19,X19,AD19,AJ19,AP19,AV19,BB19),"")</f>
        <v/>
      </c>
      <c r="I19" s="19">
        <f>IF(AND(ISNUMBER(G19),ISNUMBER(H19)),G19*H19,"")</f>
        <v/>
      </c>
    </row>
    <row r="20" spans="1:57">
      <c r="A20" s="17" t="s">
        <v>55</v>
      </c>
      <c r="B20" s="17" t="s">
        <v>56</v>
      </c>
      <c r="C20" s="17" t="s">
        <v>57</v>
      </c>
      <c r="D20" s="17" t="s">
        <v>58</v>
      </c>
      <c r="E20" s="17" t="s">
        <v>59</v>
      </c>
      <c r="F20" s="17" t="s">
        <v>60</v>
      </c>
      <c r="G20" s="17">
        <f>CEILING(BoardQty*2.0,1)</f>
        <v>2</v>
      </c>
      <c r="H20" s="18">
        <f>IF(MIN(L20,R20,X20,AD20,AJ20,AP20,AV20,BB20)&lt;&gt;0,MIN(L20,R20,X20,AD20,AJ20,AP20,AV20,BB20),"")</f>
        <v>0.2879</v>
      </c>
      <c r="I20" s="19">
        <f>IF(AND(ISNUMBER(G20),ISNUMBER(H20)),G20*H20,"")</f>
        <v>0.5758</v>
      </c>
      <c r="J20" s="20" t="s">
        <v>106</v>
      </c>
      <c r="K20" s="17"/>
      <c r="L20" s="18">
        <f>IFERROR(IF(OR(K20&gt;=M20,G20&gt;=M20),LOOKUP(IF(K20="",G20,K20),{0,1,10,100},{0.0,0.2879,0.201,0.0706}),"MOQ="&amp;M20),"")</f>
        <v>0.2879</v>
      </c>
      <c r="M20" s="17">
        <v>1</v>
      </c>
      <c r="N20" s="19">
        <f>IFERROR(IF(K20="",G20,K20)*L20,"")</f>
        <v>0.5758</v>
      </c>
      <c r="O20" s="17" t="s">
        <v>60</v>
      </c>
      <c r="P20" s="17">
        <v>1</v>
      </c>
      <c r="Q20" s="17"/>
      <c r="R20" s="18">
        <f>IFERROR(IF(OR(Q20&gt;=S20,G20&gt;=S20),LOOKUP(IF(Q20="",G20,Q20),{0,1,10,100,500,1000,2000,6000,10000,50000},{0.0,0.38,0.308,0.1631,0.10732,0.07298,0.06583,0.05724,0.04865,0.04725}),"MOQ="&amp;S20),"")</f>
        <v>0.38</v>
      </c>
      <c r="S20" s="17">
        <v>1</v>
      </c>
      <c r="T20" s="19">
        <f>IFERROR(IF(Q20="",G20,Q20)*R20,"")</f>
        <v>0.76</v>
      </c>
      <c r="U20" s="17" t="s">
        <v>131</v>
      </c>
      <c r="V20" s="17">
        <v>3</v>
      </c>
      <c r="W20" s="17"/>
      <c r="X20" s="18">
        <f>IFERROR(IF(OR(W20&gt;=Y20,G20&gt;=Y20),USD_GBP*LOOKUP(IF(W20="",G20,W20),{0,1,5,10,100,150,500},{0.0,0.355,0.355,0.248,0.102,0.102,0.0662}),"MOQ="&amp;Y20),"")</f>
        <v/>
      </c>
      <c r="Y20" s="17">
        <v>5</v>
      </c>
      <c r="Z20" s="19">
        <f>IFERROR(IF(W20="",G20,W20)*X20,"")</f>
        <v/>
      </c>
      <c r="AA20" s="17" t="s">
        <v>153</v>
      </c>
      <c r="AH20" s="20" t="s">
        <v>106</v>
      </c>
      <c r="AI20" s="17"/>
      <c r="AJ20" s="18">
        <f>IFERROR(IF(OR(AI20&gt;=AK20,G20&gt;=AK20),LOOKUP(IF(AI20="",G20,AI20),{0,1,10,50,100,1000,10000},{0.0,0.33,0.224,0.224,0.133,0.064,0.043}),"MOQ="&amp;AK20),"")</f>
        <v>0.33</v>
      </c>
      <c r="AK20" s="17">
        <v>1</v>
      </c>
      <c r="AL20" s="19">
        <f>IFERROR(IF(AI20="",G20,AI20)*AJ20,"")</f>
        <v>0.66</v>
      </c>
      <c r="AM20" s="17" t="s">
        <v>186</v>
      </c>
      <c r="AN20" s="17">
        <v>194</v>
      </c>
      <c r="AO20" s="17"/>
      <c r="AP20" s="18">
        <f>IFERROR(IF(OR(AO20&gt;=AQ20,G20&gt;=AQ20),LOOKUP(IF(AO20="",G20,AO20),{0,1,10,100,2000,6000,10000,24000,50000,64000},{0.0,0.302,0.209,0.104,0.046,0.079,0.042,0.074,0.036,0.064}),"MOQ="&amp;AQ20),"")</f>
        <v>0.302</v>
      </c>
      <c r="AQ20" s="17">
        <v>1</v>
      </c>
      <c r="AR20" s="19">
        <f>IFERROR(IF(AO20="",G20,AO20)*AP20,"")</f>
        <v>0.604</v>
      </c>
      <c r="AS20" s="17" t="s">
        <v>208</v>
      </c>
      <c r="AT20" s="17">
        <v>1800</v>
      </c>
      <c r="AU20" s="17"/>
      <c r="AV20" s="18">
        <f>IFERROR(IF(OR(AU20&gt;=AW20,G20&gt;=AW20),USD_GBP*LOOKUP(IF(AU20="",G20,AU20),{0,1,200,1000,2000},{0.0,0.072,0.072,0.066,0.063}),"MOQ="&amp;AW20),"")</f>
        <v/>
      </c>
      <c r="AW20" s="17">
        <v>200</v>
      </c>
      <c r="AX20" s="19">
        <f>IFERROR(IF(AU20="",G20,AU20)*AV20,"")</f>
        <v/>
      </c>
      <c r="AY20" s="17" t="s">
        <v>226</v>
      </c>
    </row>
    <row r="21" spans="1:57" ht="30" customHeight="1">
      <c r="A21" s="17" t="s">
        <v>61</v>
      </c>
      <c r="B21" s="17" t="s">
        <v>62</v>
      </c>
      <c r="D21" s="17" t="s">
        <v>63</v>
      </c>
      <c r="F21" s="17" t="s">
        <v>64</v>
      </c>
      <c r="G21" s="17">
        <f>CEILING(BoardQty*5.0,1)</f>
        <v>5</v>
      </c>
      <c r="H21" s="18">
        <f>IF(MIN(L21,R21,X21,AD21,AJ21,AP21,AV21,BB21)&lt;&gt;0,MIN(L21,R21,X21,AD21,AJ21,AP21,AV21,BB21),"")</f>
        <v>0.31</v>
      </c>
      <c r="I21" s="19">
        <f>IF(AND(ISNUMBER(G21),ISNUMBER(H21)),G21*H21,"")</f>
        <v>1.55</v>
      </c>
      <c r="J21" s="20" t="s">
        <v>106</v>
      </c>
      <c r="K21" s="17"/>
      <c r="L21" s="18">
        <f>IFERROR(IF(OR(K21&gt;=M21,G21&gt;=M21),LOOKUP(IF(K21="",G21,K21),{0,1,10,25,100,250,500,1000,3000,6000},{0.0,0.327,0.3131,0.2761,0.1145,0.103,0.0861,0.0472,0.0468,0.046}),"MOQ="&amp;M21),"")</f>
        <v>0.327</v>
      </c>
      <c r="M21" s="17">
        <v>1</v>
      </c>
      <c r="N21" s="19">
        <f>IFERROR(IF(K21="",G21,K21)*L21,"")</f>
        <v>1.635</v>
      </c>
      <c r="O21" s="17" t="s">
        <v>64</v>
      </c>
      <c r="P21" s="17">
        <v>84395</v>
      </c>
      <c r="Q21" s="17"/>
      <c r="R21" s="18">
        <f>IFERROR(IF(OR(Q21&gt;=S21,G21&gt;=S21),LOOKUP(IF(Q21="",G21,Q21),{0,1,10,100,1000,2500,5000,10000,25000},{0.0,0.31,0.262,0.1023,0.04284,0.03927,0.0357,0.03332,0.03237}),"MOQ="&amp;S21),"")</f>
        <v>0.31</v>
      </c>
      <c r="S21" s="17">
        <v>1</v>
      </c>
      <c r="T21" s="19">
        <f>IFERROR(IF(Q21="",G21,Q21)*R21,"")</f>
        <v>1.55</v>
      </c>
      <c r="U21" s="17" t="s">
        <v>132</v>
      </c>
      <c r="V21" s="17">
        <v>301</v>
      </c>
      <c r="W21" s="17"/>
      <c r="X21" s="18">
        <f>IFERROR(IF(OR(W21&gt;=Y21,G21&gt;=Y21),USD_GBP*LOOKUP(IF(W21="",G21,W21),{0,1,10,100,150,500,1000,2500,5000,25000},{0.0,0.276,0.276,0.102,0.102,0.0701,0.0381,0.0355,0.0301,0.0288}),"MOQ="&amp;Y21),"")</f>
        <v/>
      </c>
      <c r="Y21" s="17">
        <v>10</v>
      </c>
      <c r="Z21" s="19">
        <f>IFERROR(IF(W21="",G21,W21)*X21,"")</f>
        <v/>
      </c>
      <c r="AA21" s="17" t="s">
        <v>154</v>
      </c>
      <c r="AB21" s="17">
        <v>6450</v>
      </c>
      <c r="AC21" s="17"/>
      <c r="AD21" s="18">
        <f>IFERROR(IF(OR(AC21&gt;=AE21,G21&gt;=AE21),LOOKUP(IF(AC21="",G21,AC21),{0,1,5,50,150,500,2500,5000},{0.0,0.51912,0.51912,0.41533,0.39627,0.37721,0.36874,0.36455}),"MOQ="&amp;AE21),"")</f>
        <v>0.51912</v>
      </c>
      <c r="AE21" s="17">
        <v>5</v>
      </c>
      <c r="AF21" s="19">
        <f>IFERROR(IF(AC21="",G21,AC21)*AD21,"")</f>
        <v>2.5956</v>
      </c>
      <c r="AG21" s="17" t="s">
        <v>166</v>
      </c>
      <c r="AH21" s="17">
        <v>3677</v>
      </c>
      <c r="AI21" s="17"/>
      <c r="AJ21" s="18">
        <f>IFERROR(IF(OR(AI21&gt;=AK21,G21&gt;=AK21),LOOKUP(IF(AI21="",G21,AI21),{0,1,10,50,100,1000,10000},{0.0,0.36,0.302,0.302,0.118,0.045,0.037}),"MOQ="&amp;AK21),"")</f>
        <v>0.36</v>
      </c>
      <c r="AK21" s="17">
        <v>1</v>
      </c>
      <c r="AL21" s="19">
        <f>IFERROR(IF(AI21="",G21,AI21)*AJ21,"")</f>
        <v>1.8</v>
      </c>
      <c r="AM21" s="17" t="s">
        <v>187</v>
      </c>
      <c r="AN21" s="20" t="s">
        <v>106</v>
      </c>
      <c r="AO21" s="17"/>
      <c r="AP21" s="18">
        <f>IFERROR(IF(OR(AO21&gt;=AQ21,G21&gt;=AQ21),LOOKUP(IF(AO21="",G21,AO21),{0,1,10,25,50,100,250,500,1000,5000,10000},{0.0,0.396,0.332,0.265,0.197,0.13,0.101,0.076,0.052,0.044,0.041}),"MOQ="&amp;AQ21),"")</f>
        <v>0.396</v>
      </c>
      <c r="AQ21" s="17">
        <v>1</v>
      </c>
      <c r="AR21" s="19">
        <f>IFERROR(IF(AO21="",G21,AO21)*AP21,"")</f>
        <v>1.98</v>
      </c>
      <c r="AS21" s="17" t="s">
        <v>209</v>
      </c>
      <c r="AT21" s="17">
        <v>11060</v>
      </c>
      <c r="AU21" s="17"/>
      <c r="AV21" s="18">
        <f>IFERROR(IF(OR(AU21&gt;=AW21,G21&gt;=AW21),USD_GBP*LOOKUP(IF(AU21="",G21,AU21),{0,1,5,50,250,1250,2500,5000,15000},{0.0,0.298,0.298,0.12,0.08,0.04,0.038,0.029,0.022}),"MOQ="&amp;AW21),"")</f>
        <v>0.41201626455760176</v>
      </c>
      <c r="AW21" s="17">
        <v>5</v>
      </c>
      <c r="AX21" s="19">
        <f>IFERROR(IF(AU21="",G21,AU21)*AV21,"")</f>
        <v>2.0601</v>
      </c>
      <c r="AY21" s="17" t="s">
        <v>227</v>
      </c>
      <c r="AZ21" s="20" t="s">
        <v>106</v>
      </c>
      <c r="BA21" s="17"/>
      <c r="BB21" s="18">
        <f>IFERROR(IF(OR(BA21&gt;=BC21,G21&gt;=BC21),USD_GBP*LOOKUP(IF(BA21="",G21,BA21),{0,1,10,100,1000,5000},{0.0,0.082,0.082,0.0492,0.03442,0.02906}),"MOQ="&amp;BC21),"")</f>
        <v/>
      </c>
      <c r="BC21" s="17">
        <v>10</v>
      </c>
      <c r="BD21" s="19">
        <f>IFERROR(IF(BA21="",G21,BA21)*BB21,"")</f>
        <v/>
      </c>
      <c r="BE21" s="17" t="s">
        <v>64</v>
      </c>
    </row>
    <row r="22" spans="1:57" ht="30" customHeight="1">
      <c r="A22" s="17" t="s">
        <v>65</v>
      </c>
      <c r="B22" s="17" t="s">
        <v>66</v>
      </c>
      <c r="D22" s="17" t="s">
        <v>63</v>
      </c>
      <c r="F22" s="17" t="s">
        <v>67</v>
      </c>
      <c r="G22" s="17">
        <f>CEILING(BoardQty*1.0,1)</f>
        <v>1</v>
      </c>
      <c r="H22" s="18">
        <f>IF(MIN(L22,R22,X22,AD22,AJ22,AP22,AV22,BB22)&lt;&gt;0,MIN(L22,R22,X22,AD22,AJ22,AP22,AV22,BB22),"")</f>
        <v>0.1</v>
      </c>
      <c r="I22" s="19">
        <f>IF(AND(ISNUMBER(G22),ISNUMBER(H22)),G22*H22,"")</f>
        <v>0.1</v>
      </c>
      <c r="J22" s="17">
        <v>1</v>
      </c>
      <c r="K22" s="17"/>
      <c r="L22" s="18">
        <f>IFERROR(IF(OR(K22&gt;=M22,G22&gt;=M22),LOOKUP(IF(K22="",G22,K22),{0,1,50000,100000},{0.0,0.0073,0.0073,0.0068}),"MOQ="&amp;M22),"")</f>
        <v/>
      </c>
      <c r="M22" s="17">
        <v>50000</v>
      </c>
      <c r="N22" s="19">
        <f>IFERROR(IF(K22="",G22,K22)*L22,"")</f>
        <v/>
      </c>
      <c r="O22" s="17" t="s">
        <v>109</v>
      </c>
      <c r="P22" s="17">
        <v>62536</v>
      </c>
      <c r="Q22" s="17"/>
      <c r="R22" s="18">
        <f>IFERROR(IF(OR(Q22&gt;=S22,G22&gt;=S22),LOOKUP(IF(Q22="",G22,Q22),{0,1,10,100,1000,2500,5000},{0.0,0.1,0.075,0.0288,0.01265,0.01092,0.00978}),"MOQ="&amp;S22),"")</f>
        <v>0.1</v>
      </c>
      <c r="S22" s="17">
        <v>1</v>
      </c>
      <c r="T22" s="19">
        <f>IFERROR(IF(Q22="",G22,Q22)*R22,"")</f>
        <v>0.1</v>
      </c>
      <c r="U22" s="17" t="s">
        <v>133</v>
      </c>
      <c r="V22" s="17">
        <v>10000</v>
      </c>
      <c r="W22" s="17"/>
      <c r="X22" s="18">
        <f>IFERROR(IF(OR(W22&gt;=Y22,G22&gt;=Y22),USD_GBP*LOOKUP(IF(W22="",G22,W22),{0,1,10,100,150,500,1000,2500,5000,25000},{0.0,0.0615,0.0615,0.0234,0.0234,0.0159,0.0083,0.0078,0.0077,0.0071}),"MOQ="&amp;Y22),"")</f>
        <v/>
      </c>
      <c r="Y22" s="17">
        <v>10</v>
      </c>
      <c r="Z22" s="19">
        <f>IFERROR(IF(W22="",G22,W22)*X22,"")</f>
        <v/>
      </c>
      <c r="AA22" s="17" t="s">
        <v>155</v>
      </c>
      <c r="AB22" s="17">
        <v>4350</v>
      </c>
      <c r="AC22" s="17"/>
      <c r="AD22" s="18">
        <f>IFERROR(IF(OR(AC22&gt;=AE22,G22&gt;=AE22),LOOKUP(IF(AC22="",G22,AC22),{0,1,50,500,1500,5000,25000,50000},{0.0,0.06861,0.06861,0.05153,0.04839,0.04525,0.04386,0.04317}),"MOQ="&amp;AE22),"")</f>
        <v/>
      </c>
      <c r="AE22" s="17">
        <v>50</v>
      </c>
      <c r="AF22" s="19">
        <f>IFERROR(IF(AC22="",G22,AC22)*AD22,"")</f>
        <v/>
      </c>
      <c r="AG22" s="17" t="s">
        <v>167</v>
      </c>
      <c r="AH22" s="17">
        <v>87034</v>
      </c>
      <c r="AI22" s="17"/>
      <c r="AJ22" s="18">
        <f>IFERROR(IF(OR(AI22&gt;=AK22,G22&gt;=AK22),LOOKUP(IF(AI22="",G22,AI22),{0,1,10,50,100,1000,10000},{0.0,0.1,0.065,0.065,0.029,0.013,0.009}),"MOQ="&amp;AK22),"")</f>
        <v>0.1</v>
      </c>
      <c r="AK22" s="17">
        <v>1</v>
      </c>
      <c r="AL22" s="19">
        <f>IFERROR(IF(AI22="",G22,AI22)*AJ22,"")</f>
        <v>0.1</v>
      </c>
      <c r="AM22" s="17" t="s">
        <v>188</v>
      </c>
      <c r="AN22" s="17">
        <v>95000</v>
      </c>
      <c r="AO22" s="17"/>
      <c r="AP22" s="18">
        <f>IFERROR(IF(OR(AO22&gt;=AQ22,G22&gt;=AQ22),LOOKUP(IF(AO22="",G22,AO22),{0,1,10,25,50,100,250,500,1000,5000,10000,20000},{0.0,0.109,0.108,0.089,0.071,0.054,0.035,0.028,0.021,0.022,0.017,0.013}),"MOQ="&amp;AQ22),"")</f>
        <v>0.109</v>
      </c>
      <c r="AQ22" s="17">
        <v>1</v>
      </c>
      <c r="AR22" s="19">
        <f>IFERROR(IF(AO22="",G22,AO22)*AP22,"")</f>
        <v>0.109</v>
      </c>
      <c r="AS22" s="17" t="s">
        <v>210</v>
      </c>
    </row>
    <row r="23" spans="1:57" ht="30" customHeight="1">
      <c r="A23" s="17" t="s">
        <v>68</v>
      </c>
      <c r="B23" s="17" t="s">
        <v>69</v>
      </c>
      <c r="D23" s="17" t="s">
        <v>63</v>
      </c>
      <c r="F23" s="17" t="s">
        <v>70</v>
      </c>
      <c r="G23" s="17">
        <f>CEILING(BoardQty*7.0,1)</f>
        <v>7</v>
      </c>
      <c r="H23" s="18">
        <f>IF(MIN(L23,R23,X23,AD23,AJ23,AP23,AV23,BB23)&lt;&gt;0,MIN(L23,R23,X23,AD23,AJ23,AP23,AV23,BB23),"")</f>
        <v>0.008</v>
      </c>
      <c r="I23" s="19">
        <f>IF(AND(ISNUMBER(G23),ISNUMBER(H23)),G23*H23,"")</f>
        <v>0.056</v>
      </c>
      <c r="J23" s="20" t="s">
        <v>106</v>
      </c>
      <c r="K23" s="17"/>
      <c r="L23" s="18">
        <f>IFERROR(IF(OR(K23&gt;=M23,G23&gt;=M23),LOOKUP(IF(K23="",G23,K23),{0,1},{0.0,0.064}),"MOQ="&amp;M23),"")</f>
        <v>0.064</v>
      </c>
      <c r="M23" s="17">
        <v>1</v>
      </c>
      <c r="N23" s="19">
        <f>IFERROR(IF(K23="",G23,K23)*L23,"")</f>
        <v>0.448</v>
      </c>
      <c r="O23" s="17" t="s">
        <v>110</v>
      </c>
      <c r="P23" s="17">
        <v>510476</v>
      </c>
      <c r="Q23" s="17"/>
      <c r="R23" s="18">
        <f>IFERROR(IF(OR(Q23&gt;=S23,G23&gt;=S23),LOOKUP(IF(Q23="",G23,Q23),{0,1,10,100,1000,2500,5000},{0.0,0.1,0.057,0.0231,0.01036,0.00899,0.00743}),"MOQ="&amp;S23),"")</f>
        <v>0.1</v>
      </c>
      <c r="S23" s="17">
        <v>1</v>
      </c>
      <c r="T23" s="19">
        <f>IFERROR(IF(Q23="",G23,Q23)*R23,"")</f>
        <v>0.7</v>
      </c>
      <c r="U23" s="17" t="s">
        <v>134</v>
      </c>
      <c r="V23" s="17">
        <v>70000</v>
      </c>
      <c r="W23" s="17"/>
      <c r="X23" s="18">
        <f>IFERROR(IF(OR(W23&gt;=Y23,G23&gt;=Y23),USD_GBP*LOOKUP(IF(W23="",G23,W23),{0,1,10,100,150,500,1000,2500,5000,25000},{0.0,0.0587,0.0587,0.0238,0.0238,0.0167,0.0097,0.0079,0.0066,0.0059}),"MOQ="&amp;Y23),"")</f>
        <v/>
      </c>
      <c r="Y23" s="17">
        <v>10</v>
      </c>
      <c r="Z23" s="19">
        <f>IFERROR(IF(W23="",G23,W23)*X23,"")</f>
        <v/>
      </c>
      <c r="AA23" s="17" t="s">
        <v>156</v>
      </c>
      <c r="AB23" s="17">
        <v>165600</v>
      </c>
      <c r="AC23" s="17"/>
      <c r="AD23" s="18">
        <f>IFERROR(IF(OR(AC23&gt;=AE23,G23&gt;=AE23),LOOKUP(IF(AC23="",G23,AC23),{0,1,50,500,1500,5000,25000,50000},{0.0,0.05122,0.05122,0.03977,0.03767,0.03557,0.03464,0.03418}),"MOQ="&amp;AE23),"")</f>
        <v/>
      </c>
      <c r="AE23" s="17">
        <v>50</v>
      </c>
      <c r="AF23" s="19">
        <f>IFERROR(IF(AC23="",G23,AC23)*AD23,"")</f>
        <v/>
      </c>
      <c r="AG23" s="17" t="s">
        <v>168</v>
      </c>
      <c r="AH23" s="17">
        <v>6726</v>
      </c>
      <c r="AI23" s="17"/>
      <c r="AJ23" s="18">
        <f>IFERROR(IF(OR(AI23&gt;=AK23,G23&gt;=AK23),LOOKUP(IF(AI23="",G23,AI23),{0,1,10,50,100,1000,10000},{0.0,0.1,0.057,0.057,0.024,0.011,0.008}),"MOQ="&amp;AK23),"")</f>
        <v>0.1</v>
      </c>
      <c r="AK23" s="17">
        <v>1</v>
      </c>
      <c r="AL23" s="19">
        <f>IFERROR(IF(AI23="",G23,AI23)*AJ23,"")</f>
        <v>0.7</v>
      </c>
      <c r="AM23" s="17" t="s">
        <v>189</v>
      </c>
      <c r="AN23" s="17">
        <v>90000</v>
      </c>
      <c r="AO23" s="17"/>
      <c r="AP23" s="18">
        <f>IFERROR(IF(OR(AO23&gt;=AQ23,G23&gt;=AQ23),LOOKUP(IF(AO23="",G23,AO23),{0,1,10,25,50,100,250,500,1000,5000,10000},{0.0,0.008,0.079,0.064,0.049,0.033,0.02,0.015,0.01,0.008,0.007}),"MOQ="&amp;AQ23),"")</f>
        <v>0.008</v>
      </c>
      <c r="AQ23" s="17">
        <v>1</v>
      </c>
      <c r="AR23" s="19">
        <f>IFERROR(IF(AO23="",G23,AO23)*AP23,"")</f>
        <v>0.056</v>
      </c>
      <c r="AS23" s="17" t="s">
        <v>211</v>
      </c>
      <c r="AT23" s="17">
        <v>480000</v>
      </c>
      <c r="AU23" s="17"/>
      <c r="AV23" s="18">
        <f>IFERROR(IF(OR(AU23&gt;=AW23,G23&gt;=AW23),USD_GBP*LOOKUP(IF(AU23="",G23,AU23),{0,1,5000,15000},{0.0,0.004,0.004,0.005}),"MOQ="&amp;AW23),"")</f>
        <v/>
      </c>
      <c r="AW23" s="17">
        <v>5000</v>
      </c>
      <c r="AX23" s="19">
        <f>IFERROR(IF(AU23="",G23,AU23)*AV23,"")</f>
        <v/>
      </c>
      <c r="AY23" s="17" t="s">
        <v>228</v>
      </c>
    </row>
    <row r="24" spans="1:57" ht="30" customHeight="1">
      <c r="A24" s="17" t="s">
        <v>71</v>
      </c>
      <c r="B24" s="17" t="s">
        <v>72</v>
      </c>
      <c r="D24" s="17" t="s">
        <v>63</v>
      </c>
      <c r="F24" s="17" t="s">
        <v>73</v>
      </c>
      <c r="G24" s="17">
        <f>CEILING(BoardQty*1.0,1)</f>
        <v>1</v>
      </c>
      <c r="H24" s="18">
        <f>IF(MIN(L24,R24,X24,AD24,AJ24,AP24,AV24,BB24)&lt;&gt;0,MIN(L24,R24,X24,AD24,AJ24,AP24,AV24,BB24),"")</f>
        <v>0.1</v>
      </c>
      <c r="I24" s="19">
        <f>IF(AND(ISNUMBER(G24),ISNUMBER(H24)),G24*H24,"")</f>
        <v>0.1</v>
      </c>
      <c r="J24" s="17">
        <v>20705</v>
      </c>
      <c r="K24" s="17"/>
      <c r="L24" s="18">
        <f>IFERROR(IF(OR(K24&gt;=M24,G24&gt;=M24),LOOKUP(IF(K24="",G24,K24),{0,1,50000,80000,100000,200000,500000},{0.0,0.0053,0.0053,0.0052,0.0051,0.005,0.0049}),"MOQ="&amp;M24),"")</f>
        <v/>
      </c>
      <c r="M24" s="17">
        <v>50000</v>
      </c>
      <c r="N24" s="19">
        <f>IFERROR(IF(K24="",G24,K24)*L24,"")</f>
        <v/>
      </c>
      <c r="O24" s="17" t="s">
        <v>111</v>
      </c>
      <c r="P24" s="17">
        <v>434237</v>
      </c>
      <c r="Q24" s="17"/>
      <c r="R24" s="18">
        <f>IFERROR(IF(OR(Q24&gt;=S24,G24&gt;=S24),LOOKUP(IF(Q24="",G24,Q24),{0,1,10,100,1000,2500,5000},{0.0,0.1,0.057,0.0231,0.01036,0.00899,0.00743}),"MOQ="&amp;S24),"")</f>
        <v>0.1</v>
      </c>
      <c r="S24" s="17">
        <v>1</v>
      </c>
      <c r="T24" s="19">
        <f>IFERROR(IF(Q24="",G24,Q24)*R24,"")</f>
        <v>0.1</v>
      </c>
      <c r="U24" s="17" t="s">
        <v>135</v>
      </c>
      <c r="V24" s="17">
        <v>5041</v>
      </c>
      <c r="W24" s="17"/>
      <c r="X24" s="18">
        <f>IFERROR(IF(OR(W24&gt;=Y24,G24&gt;=Y24),USD_GBP*LOOKUP(IF(W24="",G24,W24),{0,1,10,100,150,500,1000,2500,5000,25000},{0.0,0.047,0.047,0.0232,0.0232,0.0158,0.0084,0.0078,0.0068,0.0061}),"MOQ="&amp;Y24),"")</f>
        <v/>
      </c>
      <c r="Y24" s="17">
        <v>10</v>
      </c>
      <c r="Z24" s="19">
        <f>IFERROR(IF(W24="",G24,W24)*X24,"")</f>
        <v/>
      </c>
      <c r="AA24" s="17" t="s">
        <v>157</v>
      </c>
      <c r="AB24" s="17">
        <v>46750</v>
      </c>
      <c r="AC24" s="17"/>
      <c r="AD24" s="18">
        <f>IFERROR(IF(OR(AC24&gt;=AE24,G24&gt;=AE24),LOOKUP(IF(AC24="",G24,AC24),{0,1,50,500,1500,5000,25000,50000},{0.0,0.03735,0.03735,0.02835,0.0267,0.02505,0.02431,0.02395}),"MOQ="&amp;AE24),"")</f>
        <v/>
      </c>
      <c r="AE24" s="17">
        <v>50</v>
      </c>
      <c r="AF24" s="19">
        <f>IFERROR(IF(AC24="",G24,AC24)*AD24,"")</f>
        <v/>
      </c>
      <c r="AG24" s="17" t="s">
        <v>169</v>
      </c>
      <c r="AH24" s="17">
        <v>46150</v>
      </c>
      <c r="AI24" s="17"/>
      <c r="AJ24" s="18">
        <f>IFERROR(IF(OR(AI24&gt;=AK24,G24&gt;=AK24),LOOKUP(IF(AI24="",G24,AI24),{0,1,10,50,100,1000,10000},{0.0,0.1,0.047,0.047,0.024,0.011,0.007}),"MOQ="&amp;AK24),"")</f>
        <v>0.1</v>
      </c>
      <c r="AK24" s="17">
        <v>1</v>
      </c>
      <c r="AL24" s="19">
        <f>IFERROR(IF(AI24="",G24,AI24)*AJ24,"")</f>
        <v>0.1</v>
      </c>
      <c r="AM24" s="17" t="s">
        <v>190</v>
      </c>
      <c r="AN24" s="17">
        <v>20000</v>
      </c>
      <c r="AO24" s="17"/>
      <c r="AP24" s="18">
        <f>IFERROR(IF(OR(AO24&gt;=AQ24,G24&gt;=AQ24),LOOKUP(IF(AO24="",G24,AO24),{0,1,10,25,50,100,250,500,1000,5000,10000,50000},{0.0,0.138,0.056,0.048,0.038,0.029,0.02,0.015,0.01,0.008,0.007,0.007}),"MOQ="&amp;AQ24),"")</f>
        <v>0.138</v>
      </c>
      <c r="AQ24" s="17">
        <v>1</v>
      </c>
      <c r="AR24" s="19">
        <f>IFERROR(IF(AO24="",G24,AO24)*AP24,"")</f>
        <v>0.138</v>
      </c>
      <c r="AS24" s="17" t="s">
        <v>212</v>
      </c>
      <c r="AT24" s="17">
        <v>5000</v>
      </c>
      <c r="AU24" s="17"/>
      <c r="AV24" s="18">
        <f>IFERROR(IF(OR(AU24&gt;=AW24,G24&gt;=AW24),USD_GBP*LOOKUP(IF(AU24="",G24,AU24),{0,1,5000},{0.0,0.004,0.004}),"MOQ="&amp;AW24),"")</f>
        <v/>
      </c>
      <c r="AW24" s="17">
        <v>5000</v>
      </c>
      <c r="AX24" s="19">
        <f>IFERROR(IF(AU24="",G24,AU24)*AV24,"")</f>
        <v/>
      </c>
      <c r="AY24" s="17" t="s">
        <v>229</v>
      </c>
    </row>
    <row r="25" spans="1:57" ht="30" customHeight="1">
      <c r="A25" s="17" t="s">
        <v>74</v>
      </c>
      <c r="B25" s="17" t="s">
        <v>75</v>
      </c>
      <c r="D25" s="17" t="s">
        <v>63</v>
      </c>
      <c r="F25" s="17" t="s">
        <v>76</v>
      </c>
      <c r="G25" s="17">
        <f>CEILING(BoardQty*1.0,1)</f>
        <v>1</v>
      </c>
      <c r="H25" s="18">
        <f>IF(MIN(L25,R25,X25,AD25,AJ25,AP25,AV25,BB25)&lt;&gt;0,MIN(L25,R25,X25,AD25,AJ25,AP25,AV25,BB25),"")</f>
        <v>0.1</v>
      </c>
      <c r="I25" s="19">
        <f>IF(AND(ISNUMBER(G25),ISNUMBER(H25)),G25*H25,"")</f>
        <v>0.1</v>
      </c>
      <c r="J25" s="20" t="s">
        <v>106</v>
      </c>
      <c r="K25" s="17"/>
      <c r="L25" s="18">
        <f>IFERROR(IF(OR(K25&gt;=M25,G25&gt;=M25),LOOKUP(IF(K25="",G25,K25),{0,1,50000,80000},{0.0,0.0045,0.0045,0.0044}),"MOQ="&amp;M25),"")</f>
        <v/>
      </c>
      <c r="M25" s="17">
        <v>50000</v>
      </c>
      <c r="N25" s="19">
        <f>IFERROR(IF(K25="",G25,K25)*L25,"")</f>
        <v/>
      </c>
      <c r="O25" s="17" t="s">
        <v>112</v>
      </c>
      <c r="P25" s="17">
        <v>6040</v>
      </c>
      <c r="Q25" s="17"/>
      <c r="R25" s="18">
        <f>IFERROR(IF(OR(Q25&gt;=S25,G25&gt;=S25),LOOKUP(IF(Q25="",G25,Q25),{0,1,10,100,1000,2500,5000},{0.0,0.1,0.057,0.0231,0.01036,0.00899,0.00743}),"MOQ="&amp;S25),"")</f>
        <v>0.1</v>
      </c>
      <c r="S25" s="17">
        <v>1</v>
      </c>
      <c r="T25" s="19">
        <f>IFERROR(IF(Q25="",G25,Q25)*R25,"")</f>
        <v>0.1</v>
      </c>
      <c r="U25" s="17" t="s">
        <v>136</v>
      </c>
      <c r="V25" s="20" t="s">
        <v>106</v>
      </c>
      <c r="W25" s="17"/>
      <c r="X25" s="18">
        <f>IFERROR(IF(OR(W25&gt;=Y25,G25&gt;=Y25),USD_GBP*LOOKUP(IF(W25="",G25,W25),{0,1,10,100,150,500,1000,2500,5000,25000},{0.0,0.0584,0.0584,0.0233,0.0233,0.0166,0.0099,0.0078,0.0066,0.0059}),"MOQ="&amp;Y25),"")</f>
        <v/>
      </c>
      <c r="Y25" s="17">
        <v>10</v>
      </c>
      <c r="Z25" s="19">
        <f>IFERROR(IF(W25="",G25,W25)*X25,"")</f>
        <v/>
      </c>
      <c r="AA25" s="17" t="s">
        <v>158</v>
      </c>
      <c r="AB25" s="17">
        <v>6500</v>
      </c>
      <c r="AC25" s="17"/>
      <c r="AD25" s="18">
        <f>IFERROR(IF(OR(AC25&gt;=AE25,G25&gt;=AE25),LOOKUP(IF(AC25="",G25,AC25),{0,1,50,500,1500,5000,25000,50000},{0.0,0.0927,0.0927,0.07171,0.06785,0.064,0.06229,0.06144}),"MOQ="&amp;AE25),"")</f>
        <v/>
      </c>
      <c r="AE25" s="17">
        <v>50</v>
      </c>
      <c r="AF25" s="19">
        <f>IFERROR(IF(AC25="",G25,AC25)*AD25,"")</f>
        <v/>
      </c>
      <c r="AG25" s="17" t="s">
        <v>170</v>
      </c>
      <c r="AH25" s="17">
        <v>10799</v>
      </c>
      <c r="AI25" s="17"/>
      <c r="AJ25" s="18">
        <f>IFERROR(IF(OR(AI25&gt;=AK25,G25&gt;=AK25),LOOKUP(IF(AI25="",G25,AI25),{0,1,10,50,100,1000,10000},{0.0,0.1,0.049,0.049,0.024,0.011,0.007}),"MOQ="&amp;AK25),"")</f>
        <v>0.1</v>
      </c>
      <c r="AK25" s="17">
        <v>1</v>
      </c>
      <c r="AL25" s="19">
        <f>IFERROR(IF(AI25="",G25,AI25)*AJ25,"")</f>
        <v>0.1</v>
      </c>
      <c r="AM25" s="17" t="s">
        <v>191</v>
      </c>
      <c r="AN25" s="17">
        <v>26000</v>
      </c>
      <c r="AO25" s="17"/>
      <c r="AP25" s="18">
        <f>IFERROR(IF(OR(AO25&gt;=AQ25,G25&gt;=AQ25),LOOKUP(IF(AO25="",G25,AO25),{0,1,10,25,50,100,250,5000,10000,20000,30000,50000},{0.0,0.138,0.068,0.056,0.045,0.033,0.03,0.008,0.016,0.016,0.016,0.014}),"MOQ="&amp;AQ25),"")</f>
        <v>0.138</v>
      </c>
      <c r="AQ25" s="17">
        <v>1</v>
      </c>
      <c r="AR25" s="19">
        <f>IFERROR(IF(AO25="",G25,AO25)*AP25,"")</f>
        <v>0.138</v>
      </c>
      <c r="AS25" s="17" t="s">
        <v>213</v>
      </c>
    </row>
    <row r="26" spans="1:57" ht="30" customHeight="1">
      <c r="A26" s="17" t="s">
        <v>77</v>
      </c>
      <c r="B26" s="17" t="s">
        <v>78</v>
      </c>
      <c r="D26" s="17" t="s">
        <v>63</v>
      </c>
      <c r="F26" s="17" t="s">
        <v>79</v>
      </c>
      <c r="G26" s="17">
        <f>CEILING(BoardQty*1.0,1)</f>
        <v>1</v>
      </c>
      <c r="H26" s="18">
        <f>IF(MIN(L26,R26,X26,AD26,AJ26,AP26,AV26,BB26)&lt;&gt;0,MIN(L26,R26,X26,AD26,AJ26,AP26,AV26,BB26),"")</f>
        <v>0.1</v>
      </c>
      <c r="I26" s="19">
        <f>IF(AND(ISNUMBER(G26),ISNUMBER(H26)),G26*H26,"")</f>
        <v>0.1</v>
      </c>
      <c r="J26" s="17">
        <v>45000</v>
      </c>
      <c r="K26" s="17"/>
      <c r="L26" s="18">
        <f>IFERROR(IF(OR(K26&gt;=M26,G26&gt;=M26),LOOKUP(IF(K26="",G26,K26),{0,1,50000,80000,100000,200000,500000},{0.0,0.0053,0.0053,0.0052,0.0051,0.005,0.0049}),"MOQ="&amp;M26),"")</f>
        <v/>
      </c>
      <c r="M26" s="17">
        <v>50000</v>
      </c>
      <c r="N26" s="19">
        <f>IFERROR(IF(K26="",G26,K26)*L26,"")</f>
        <v/>
      </c>
      <c r="O26" s="17" t="s">
        <v>113</v>
      </c>
      <c r="P26" s="17">
        <v>50718</v>
      </c>
      <c r="Q26" s="17"/>
      <c r="R26" s="18">
        <f>IFERROR(IF(OR(Q26&gt;=S26,G26&gt;=S26),LOOKUP(IF(Q26="",G26,Q26),{0,1,10,100,1000,2500,5000},{0.0,0.1,0.057,0.0231,0.01036,0.00899,0.00743}),"MOQ="&amp;S26),"")</f>
        <v>0.1</v>
      </c>
      <c r="S26" s="17">
        <v>1</v>
      </c>
      <c r="T26" s="19">
        <f>IFERROR(IF(Q26="",G26,Q26)*R26,"")</f>
        <v>0.1</v>
      </c>
      <c r="U26" s="17" t="s">
        <v>137</v>
      </c>
      <c r="V26" s="17">
        <v>70000</v>
      </c>
      <c r="W26" s="17"/>
      <c r="X26" s="18">
        <f>IFERROR(IF(OR(W26&gt;=Y26,G26&gt;=Y26),USD_GBP*LOOKUP(IF(W26="",G26,W26),{0,1,10,100,150,500,1000,2500,5000,25000},{0.0,0.0575,0.0575,0.0233,0.0233,0.0164,0.0094,0.0078,0.0066,0.0059}),"MOQ="&amp;Y26),"")</f>
        <v/>
      </c>
      <c r="Y26" s="17">
        <v>10</v>
      </c>
      <c r="Z26" s="19">
        <f>IFERROR(IF(W26="",G26,W26)*X26,"")</f>
        <v/>
      </c>
      <c r="AA26" s="17" t="s">
        <v>159</v>
      </c>
      <c r="AB26" s="17">
        <v>50600</v>
      </c>
      <c r="AC26" s="17"/>
      <c r="AD26" s="18">
        <f>IFERROR(IF(OR(AC26&gt;=AE26,G26&gt;=AE26),LOOKUP(IF(AC26="",G26,AC26),{0,1,50,500,1500,5000,25000,50000},{0.0,0.03975,0.03975,0.03075,0.0291,0.02744,0.02671,0.02634}),"MOQ="&amp;AE26),"")</f>
        <v/>
      </c>
      <c r="AE26" s="17">
        <v>50</v>
      </c>
      <c r="AF26" s="19">
        <f>IFERROR(IF(AC26="",G26,AC26)*AD26,"")</f>
        <v/>
      </c>
      <c r="AG26" s="17" t="s">
        <v>171</v>
      </c>
      <c r="AH26" s="17">
        <v>17694</v>
      </c>
      <c r="AI26" s="17"/>
      <c r="AJ26" s="18">
        <f>IFERROR(IF(OR(AI26&gt;=AK26,G26&gt;=AK26),LOOKUP(IF(AI26="",G26,AI26),{0,1,10,50,100,1000,10000},{0.0,0.1,0.057,0.057,0.024,0.012,0.007}),"MOQ="&amp;AK26),"")</f>
        <v>0.1</v>
      </c>
      <c r="AK26" s="17">
        <v>1</v>
      </c>
      <c r="AL26" s="19">
        <f>IFERROR(IF(AI26="",G26,AI26)*AJ26,"")</f>
        <v>0.1</v>
      </c>
      <c r="AM26" s="17" t="s">
        <v>192</v>
      </c>
      <c r="AN26" s="17">
        <v>6793</v>
      </c>
      <c r="AO26" s="17"/>
      <c r="AP26" s="18">
        <f>IFERROR(IF(OR(AO26&gt;=AQ26,G26&gt;=AQ26),LOOKUP(IF(AO26="",G26,AO26),{0,1,10,25,50,100,5000,10000,50000},{0.0,0.138,0.079,0.064,0.049,0.033,0.01,0.009,0.009}),"MOQ="&amp;AQ26),"")</f>
        <v>0.138</v>
      </c>
      <c r="AQ26" s="17">
        <v>1</v>
      </c>
      <c r="AR26" s="19">
        <f>IFERROR(IF(AO26="",G26,AO26)*AP26,"")</f>
        <v>0.138</v>
      </c>
      <c r="AS26" s="17" t="s">
        <v>214</v>
      </c>
      <c r="AT26" s="17">
        <v>275000</v>
      </c>
      <c r="AU26" s="17"/>
      <c r="AV26" s="18">
        <f>IFERROR(IF(OR(AU26&gt;=AW26,G26&gt;=AW26),USD_GBP*LOOKUP(IF(AU26="",G26,AU26),{0,1,5000},{0.0,0.004,0.004}),"MOQ="&amp;AW26),"")</f>
        <v/>
      </c>
      <c r="AW26" s="17">
        <v>5000</v>
      </c>
      <c r="AX26" s="19">
        <f>IFERROR(IF(AU26="",G26,AU26)*AV26,"")</f>
        <v/>
      </c>
      <c r="AY26" s="17" t="s">
        <v>230</v>
      </c>
    </row>
    <row r="27" spans="1:57" ht="30" customHeight="1">
      <c r="A27" s="17" t="s">
        <v>80</v>
      </c>
      <c r="B27" s="17" t="s">
        <v>81</v>
      </c>
      <c r="D27" s="17" t="s">
        <v>63</v>
      </c>
      <c r="F27" s="17" t="s">
        <v>67</v>
      </c>
      <c r="G27" s="17">
        <f>CEILING(BoardQty*1.0,1)</f>
        <v>1</v>
      </c>
      <c r="H27" s="18">
        <f>IF(MIN(L27,R27,X27,AD27,AJ27,AP27,AV27,BB27)&lt;&gt;0,MIN(L27,R27,X27,AD27,AJ27,AP27,AV27,BB27),"")</f>
        <v>0.1</v>
      </c>
      <c r="I27" s="19">
        <f>IF(AND(ISNUMBER(G27),ISNUMBER(H27)),G27*H27,"")</f>
        <v>0.1</v>
      </c>
      <c r="J27" s="17">
        <v>1</v>
      </c>
      <c r="K27" s="17"/>
      <c r="L27" s="18">
        <f>IFERROR(IF(OR(K27&gt;=M27,G27&gt;=M27),LOOKUP(IF(K27="",G27,K27),{0,1,50000,100000},{0.0,0.0073,0.0073,0.0068}),"MOQ="&amp;M27),"")</f>
        <v/>
      </c>
      <c r="M27" s="17">
        <v>50000</v>
      </c>
      <c r="N27" s="19">
        <f>IFERROR(IF(K27="",G27,K27)*L27,"")</f>
        <v/>
      </c>
      <c r="O27" s="17" t="s">
        <v>109</v>
      </c>
      <c r="P27" s="17">
        <v>62536</v>
      </c>
      <c r="Q27" s="17"/>
      <c r="R27" s="18">
        <f>IFERROR(IF(OR(Q27&gt;=S27,G27&gt;=S27),LOOKUP(IF(Q27="",G27,Q27),{0,1,10,100,1000,2500,5000},{0.0,0.1,0.075,0.0288,0.01265,0.01092,0.00978}),"MOQ="&amp;S27),"")</f>
        <v>0.1</v>
      </c>
      <c r="S27" s="17">
        <v>1</v>
      </c>
      <c r="T27" s="19">
        <f>IFERROR(IF(Q27="",G27,Q27)*R27,"")</f>
        <v>0.1</v>
      </c>
      <c r="U27" s="17" t="s">
        <v>133</v>
      </c>
      <c r="V27" s="17">
        <v>10000</v>
      </c>
      <c r="W27" s="17"/>
      <c r="X27" s="18">
        <f>IFERROR(IF(OR(W27&gt;=Y27,G27&gt;=Y27),USD_GBP*LOOKUP(IF(W27="",G27,W27),{0,1,10,100,150,500,1000,2500,5000,25000},{0.0,0.0615,0.0615,0.0234,0.0234,0.0159,0.0083,0.0078,0.0077,0.0071}),"MOQ="&amp;Y27),"")</f>
        <v/>
      </c>
      <c r="Y27" s="17">
        <v>10</v>
      </c>
      <c r="Z27" s="19">
        <f>IFERROR(IF(W27="",G27,W27)*X27,"")</f>
        <v/>
      </c>
      <c r="AA27" s="17" t="s">
        <v>155</v>
      </c>
      <c r="AB27" s="17">
        <v>4350</v>
      </c>
      <c r="AC27" s="17"/>
      <c r="AD27" s="18">
        <f>IFERROR(IF(OR(AC27&gt;=AE27,G27&gt;=AE27),LOOKUP(IF(AC27="",G27,AC27),{0,1,50,500,1500,5000,25000,50000},{0.0,0.06861,0.06861,0.05153,0.04839,0.04525,0.04386,0.04317}),"MOQ="&amp;AE27),"")</f>
        <v/>
      </c>
      <c r="AE27" s="17">
        <v>50</v>
      </c>
      <c r="AF27" s="19">
        <f>IFERROR(IF(AC27="",G27,AC27)*AD27,"")</f>
        <v/>
      </c>
      <c r="AG27" s="17" t="s">
        <v>167</v>
      </c>
      <c r="AH27" s="17">
        <v>87034</v>
      </c>
      <c r="AI27" s="17"/>
      <c r="AJ27" s="18">
        <f>IFERROR(IF(OR(AI27&gt;=AK27,G27&gt;=AK27),LOOKUP(IF(AI27="",G27,AI27),{0,1,10,50,100,1000,10000},{0.0,0.1,0.065,0.065,0.029,0.013,0.009}),"MOQ="&amp;AK27),"")</f>
        <v>0.1</v>
      </c>
      <c r="AK27" s="17">
        <v>1</v>
      </c>
      <c r="AL27" s="19">
        <f>IFERROR(IF(AI27="",G27,AI27)*AJ27,"")</f>
        <v>0.1</v>
      </c>
      <c r="AM27" s="17" t="s">
        <v>188</v>
      </c>
      <c r="AN27" s="17">
        <v>95000</v>
      </c>
      <c r="AO27" s="17"/>
      <c r="AP27" s="18">
        <f>IFERROR(IF(OR(AO27&gt;=AQ27,G27&gt;=AQ27),LOOKUP(IF(AO27="",G27,AO27),{0,1,10,25,50,100,250,500,1000,5000,10000,20000},{0.0,0.109,0.108,0.089,0.071,0.054,0.035,0.028,0.021,0.022,0.017,0.013}),"MOQ="&amp;AQ27),"")</f>
        <v>0.109</v>
      </c>
      <c r="AQ27" s="17">
        <v>1</v>
      </c>
      <c r="AR27" s="19">
        <f>IFERROR(IF(AO27="",G27,AO27)*AP27,"")</f>
        <v>0.109</v>
      </c>
      <c r="AS27" s="17" t="s">
        <v>210</v>
      </c>
    </row>
    <row r="28" spans="1:57" ht="30" customHeight="1">
      <c r="A28" s="17" t="s">
        <v>82</v>
      </c>
      <c r="B28" s="17" t="s">
        <v>83</v>
      </c>
      <c r="D28" s="17" t="s">
        <v>63</v>
      </c>
      <c r="F28" s="17" t="s">
        <v>84</v>
      </c>
      <c r="G28" s="17">
        <f>CEILING(BoardQty*1.0,1)</f>
        <v>1</v>
      </c>
      <c r="H28" s="18">
        <f>IF(MIN(L28,R28,X28,AD28,AJ28,AP28,AV28,BB28)&lt;&gt;0,MIN(L28,R28,X28,AD28,AJ28,AP28,AV28,BB28),"")</f>
        <v>0.009</v>
      </c>
      <c r="I28" s="19">
        <f>IF(AND(ISNUMBER(G28),ISNUMBER(H28)),G28*H28,"")</f>
        <v>0.009</v>
      </c>
      <c r="J28" s="17">
        <v>47409</v>
      </c>
      <c r="K28" s="17"/>
      <c r="L28" s="18">
        <f>IFERROR(IF(OR(K28&gt;=M28,G28&gt;=M28),LOOKUP(IF(K28="",G28,K28),{0,1,5000},{0.0,0.0084,0.0084}),"MOQ="&amp;M28),"")</f>
        <v/>
      </c>
      <c r="M28" s="17">
        <v>5000</v>
      </c>
      <c r="N28" s="19">
        <f>IFERROR(IF(K28="",G28,K28)*L28,"")</f>
        <v/>
      </c>
      <c r="O28" s="17" t="s">
        <v>114</v>
      </c>
      <c r="P28" s="17">
        <v>74243</v>
      </c>
      <c r="Q28" s="17"/>
      <c r="R28" s="18">
        <f>IFERROR(IF(OR(Q28&gt;=S28,G28&gt;=S28),LOOKUP(IF(Q28="",G28,Q28),{0,1,10,100,1000,2500,5000},{0.0,0.1,0.057,0.0231,0.01036,0.00899,0.00743}),"MOQ="&amp;S28),"")</f>
        <v>0.1</v>
      </c>
      <c r="S28" s="17">
        <v>1</v>
      </c>
      <c r="T28" s="19">
        <f>IFERROR(IF(Q28="",G28,Q28)*R28,"")</f>
        <v>0.1</v>
      </c>
      <c r="U28" s="17" t="s">
        <v>138</v>
      </c>
      <c r="V28" s="17">
        <v>4355</v>
      </c>
      <c r="W28" s="17"/>
      <c r="X28" s="18">
        <f>IFERROR(IF(OR(W28&gt;=Y28,G28&gt;=Y28),USD_GBP*LOOKUP(IF(W28="",G28,W28),{0,1,10,100,150,500,1000,2500,5000,25000},{0.0,0.0558,0.0558,0.0232,0.0232,0.0158,0.0084,0.008,0.0068,0.0061}),"MOQ="&amp;Y28),"")</f>
        <v/>
      </c>
      <c r="Y28" s="17">
        <v>10</v>
      </c>
      <c r="Z28" s="19">
        <f>IFERROR(IF(W28="",G28,W28)*X28,"")</f>
        <v/>
      </c>
      <c r="AA28" s="17" t="s">
        <v>160</v>
      </c>
      <c r="AB28" s="17">
        <v>4100</v>
      </c>
      <c r="AC28" s="17"/>
      <c r="AD28" s="18">
        <f>IFERROR(IF(OR(AC28&gt;=AE28,G28&gt;=AE28),LOOKUP(IF(AC28="",G28,AC28),{0,1,50,500,1500,5000,25000,50000},{0.0,0.04639,0.04639,0.03484,0.03272,0.0306,0.02965,0.02919}),"MOQ="&amp;AE28),"")</f>
        <v/>
      </c>
      <c r="AE28" s="17">
        <v>50</v>
      </c>
      <c r="AF28" s="19">
        <f>IFERROR(IF(AC28="",G28,AC28)*AD28,"")</f>
        <v/>
      </c>
      <c r="AG28" s="17" t="s">
        <v>172</v>
      </c>
      <c r="AH28" s="17">
        <v>70040</v>
      </c>
      <c r="AI28" s="17"/>
      <c r="AJ28" s="18">
        <f>IFERROR(IF(OR(AI28&gt;=AK28,G28&gt;=AK28),LOOKUP(IF(AI28="",G28,AI28),{0,1,10,50,100,1000,10000},{0.0,0.12,0.062,0.062,0.025,0.011,0.007}),"MOQ="&amp;AK28),"")</f>
        <v>0.12</v>
      </c>
      <c r="AK28" s="17">
        <v>1</v>
      </c>
      <c r="AL28" s="19">
        <f>IFERROR(IF(AI28="",G28,AI28)*AJ28,"")</f>
        <v>0.12</v>
      </c>
      <c r="AM28" s="17" t="s">
        <v>193</v>
      </c>
      <c r="AN28" s="17">
        <v>4396</v>
      </c>
      <c r="AO28" s="17"/>
      <c r="AP28" s="18">
        <f>IFERROR(IF(OR(AO28&gt;=AQ28,G28&gt;=AQ28),LOOKUP(IF(AO28="",G28,AO28),{0,1,25,50,100,250,500,1000,5000,10000,50000},{0.0,0.009,0.077,0.055,0.031,0.025,0.019,0.012,0.009,0.009,0.009}),"MOQ="&amp;AQ28),"")</f>
        <v>0.009</v>
      </c>
      <c r="AQ28" s="17">
        <v>1</v>
      </c>
      <c r="AR28" s="19">
        <f>IFERROR(IF(AO28="",G28,AO28)*AP28,"")</f>
        <v>0.009</v>
      </c>
      <c r="AS28" s="17" t="s">
        <v>215</v>
      </c>
      <c r="AT28" s="17">
        <v>10000</v>
      </c>
      <c r="AU28" s="17"/>
      <c r="AV28" s="18">
        <f>IFERROR(IF(OR(AU28&gt;=AW28,G28&gt;=AW28),USD_GBP*LOOKUP(IF(AU28="",G28,AU28),{0,1,5000,10000,15000,20000},{0.0,0.012,0.012,0.011,0.01,0.009}),"MOQ="&amp;AW28),"")</f>
        <v/>
      </c>
      <c r="AW28" s="17">
        <v>5000</v>
      </c>
      <c r="AX28" s="19">
        <f>IFERROR(IF(AU28="",G28,AU28)*AV28,"")</f>
        <v/>
      </c>
      <c r="AY28" s="17" t="s">
        <v>231</v>
      </c>
    </row>
    <row r="29" spans="1:57">
      <c r="A29" s="17" t="s">
        <v>85</v>
      </c>
      <c r="B29" s="17" t="s">
        <v>86</v>
      </c>
      <c r="D29" s="17" t="s">
        <v>87</v>
      </c>
      <c r="F29" s="17" t="s">
        <v>88</v>
      </c>
      <c r="G29" s="17">
        <f>CEILING(BoardQty*1.0,1)</f>
        <v>1</v>
      </c>
      <c r="H29" s="18">
        <f>IF(MIN(L29,R29,X29,AD29,AJ29,AP29,AV29,BB29)&lt;&gt;0,MIN(L29,R29,X29,AD29,AJ29,AP29,AV29,BB29),"")</f>
        <v>2.718</v>
      </c>
      <c r="I29" s="19">
        <f>IF(AND(ISNUMBER(G29),ISNUMBER(H29)),G29*H29,"")</f>
        <v>2.718</v>
      </c>
      <c r="J29" s="20" t="s">
        <v>106</v>
      </c>
      <c r="K29" s="17"/>
      <c r="L29" s="18">
        <f>IFERROR(IF(OR(K29&gt;=M29,G29&gt;=M29),LOOKUP(IF(K29="",G29,K29),{0,1,750,1500,3000,5000,10000,25000},{0.0,2.718,2.615,2.561,2.507,2.362,2.293,2.223}),"MOQ="&amp;M29),"")</f>
        <v>2.718</v>
      </c>
      <c r="M29" s="17">
        <v>1</v>
      </c>
      <c r="N29" s="19">
        <f>IFERROR(IF(K29="",G29,K29)*L29,"")</f>
        <v>2.718</v>
      </c>
      <c r="O29" s="17" t="s">
        <v>115</v>
      </c>
      <c r="P29" s="17">
        <v>673</v>
      </c>
      <c r="Q29" s="17"/>
      <c r="R29" s="18">
        <f>IFERROR(IF(OR(Q29&gt;=S29,G29&gt;=S29),LOOKUP(IF(Q29="",G29,Q29),{0,1,10,100,1000},{0.0,4.36,3.835,3.0502,2.52735}),"MOQ="&amp;S29),"")</f>
        <v>4.36</v>
      </c>
      <c r="S29" s="17">
        <v>1</v>
      </c>
      <c r="T29" s="19">
        <f>IFERROR(IF(Q29="",G29,Q29)*R29,"")</f>
        <v>4.36</v>
      </c>
      <c r="U29" s="17" t="s">
        <v>139</v>
      </c>
      <c r="V29" s="17">
        <v>319</v>
      </c>
      <c r="W29" s="17"/>
      <c r="X29" s="18">
        <f>IFERROR(IF(OR(W29&gt;=Y29,G29&gt;=Y29),USD_GBP*LOOKUP(IF(W29="",G29,W29),{0,1,10,100,250,500,1000},{0.0,3.11,2.73,2.17,2.14,2.1,1.8}),"MOQ="&amp;Y29),"")</f>
        <v>4.299901284476984</v>
      </c>
      <c r="Y29" s="17">
        <v>1</v>
      </c>
      <c r="Z29" s="19">
        <f>IFERROR(IF(W29="",G29,W29)*X29,"")</f>
        <v>4.2999</v>
      </c>
      <c r="AA29" s="17" t="s">
        <v>161</v>
      </c>
      <c r="AH29" s="17">
        <v>1025</v>
      </c>
      <c r="AI29" s="17"/>
      <c r="AJ29" s="18">
        <f>IFERROR(IF(OR(AI29&gt;=AK29,G29&gt;=AK29),LOOKUP(IF(AI29="",G29,AI29),{0,1,10,50,100,1000,10000},{0.0,4.15,3.66,3.66,2.91,2.4,2.24}),"MOQ="&amp;AK29),"")</f>
        <v>4.15</v>
      </c>
      <c r="AK29" s="17">
        <v>1</v>
      </c>
      <c r="AL29" s="19">
        <f>IFERROR(IF(AI29="",G29,AI29)*AJ29,"")</f>
        <v>4.15</v>
      </c>
      <c r="AM29" s="17" t="s">
        <v>194</v>
      </c>
      <c r="AN29" s="17">
        <v>627</v>
      </c>
      <c r="AO29" s="17"/>
      <c r="AP29" s="18">
        <f>IFERROR(IF(OR(AO29&gt;=AQ29,G29&gt;=AQ29),LOOKUP(IF(AO29="",G29,AO29),{0,1,10,25,50,100,250},{0.0,4.03,3.54,3.3,3.06,2.82,2.77}),"MOQ="&amp;AQ29),"")</f>
        <v>4.03</v>
      </c>
      <c r="AQ29" s="17">
        <v>1</v>
      </c>
      <c r="AR29" s="19">
        <f>IFERROR(IF(AO29="",G29,AO29)*AP29,"")</f>
        <v>4.03</v>
      </c>
      <c r="AS29" s="17" t="s">
        <v>216</v>
      </c>
      <c r="AT29" s="17">
        <v>101</v>
      </c>
      <c r="AU29" s="17"/>
      <c r="AV29" s="18">
        <f>IFERROR(IF(OR(AU29&gt;=AW29,G29&gt;=AW29),USD_GBP*LOOKUP(IF(AU29="",G29,AU29),{0,1,5,100,375,1500,3000},{0.0,1.718,1.718,1.65,1.582,1.526,1.478}),"MOQ="&amp;AW29),"")</f>
        <v/>
      </c>
      <c r="AW29" s="17">
        <v>5</v>
      </c>
      <c r="AX29" s="19">
        <f>IFERROR(IF(AU29="",G29,AU29)*AV29,"")</f>
        <v/>
      </c>
      <c r="AY29" s="17" t="s">
        <v>232</v>
      </c>
      <c r="AZ29" s="20" t="s">
        <v>106</v>
      </c>
      <c r="BA29" s="17"/>
      <c r="BB29" s="18">
        <f>IFERROR(IF(OR(BA29&gt;=BC29,G29&gt;=BC29),USD_GBP*LOOKUP(IF(BA29="",G29,BA29),{0,1,5,10,20},{0.0,2.6307,1.9427,1.5137,1.1332}),"MOQ="&amp;BC29),"")</f>
        <v>3.637218748898265</v>
      </c>
      <c r="BC29" s="17">
        <v>1</v>
      </c>
      <c r="BD29" s="19">
        <f>IFERROR(IF(BA29="",G29,BA29)*BB29,"")</f>
        <v>3.6372</v>
      </c>
      <c r="BE29" s="17" t="s">
        <v>241</v>
      </c>
    </row>
    <row r="30" spans="1:57">
      <c r="A30" s="17" t="s">
        <v>89</v>
      </c>
      <c r="B30" s="17" t="s">
        <v>90</v>
      </c>
      <c r="D30" s="17" t="s">
        <v>87</v>
      </c>
      <c r="F30" s="17" t="s">
        <v>88</v>
      </c>
      <c r="G30" s="17">
        <f>CEILING(BoardQty*1.0,1)</f>
        <v>1</v>
      </c>
      <c r="H30" s="18">
        <f>IF(MIN(L30,R30,X30,AD30,AJ30,AP30,AV30,BB30)&lt;&gt;0,MIN(L30,R30,X30,AD30,AJ30,AP30,AV30,BB30),"")</f>
        <v>2.718</v>
      </c>
      <c r="I30" s="19">
        <f>IF(AND(ISNUMBER(G30),ISNUMBER(H30)),G30*H30,"")</f>
        <v>2.718</v>
      </c>
      <c r="J30" s="20" t="s">
        <v>106</v>
      </c>
      <c r="K30" s="17"/>
      <c r="L30" s="18">
        <f>IFERROR(IF(OR(K30&gt;=M30,G30&gt;=M30),LOOKUP(IF(K30="",G30,K30),{0,1,750,1500,3000,5000,10000,25000},{0.0,2.718,2.615,2.561,2.507,2.362,2.293,2.223}),"MOQ="&amp;M30),"")</f>
        <v>2.718</v>
      </c>
      <c r="M30" s="17">
        <v>1</v>
      </c>
      <c r="N30" s="19">
        <f>IFERROR(IF(K30="",G30,K30)*L30,"")</f>
        <v>2.718</v>
      </c>
      <c r="O30" s="17" t="s">
        <v>115</v>
      </c>
      <c r="P30" s="17">
        <v>673</v>
      </c>
      <c r="Q30" s="17"/>
      <c r="R30" s="18">
        <f>IFERROR(IF(OR(Q30&gt;=S30,G30&gt;=S30),LOOKUP(IF(Q30="",G30,Q30),{0,1,10,100,1000},{0.0,4.36,3.835,3.0502,2.52735}),"MOQ="&amp;S30),"")</f>
        <v>4.36</v>
      </c>
      <c r="S30" s="17">
        <v>1</v>
      </c>
      <c r="T30" s="19">
        <f>IFERROR(IF(Q30="",G30,Q30)*R30,"")</f>
        <v>4.36</v>
      </c>
      <c r="U30" s="17" t="s">
        <v>139</v>
      </c>
      <c r="V30" s="17">
        <v>319</v>
      </c>
      <c r="W30" s="17"/>
      <c r="X30" s="18">
        <f>IFERROR(IF(OR(W30&gt;=Y30,G30&gt;=Y30),USD_GBP*LOOKUP(IF(W30="",G30,W30),{0,1,10,100,250,500,1000},{0.0,3.11,2.73,2.17,2.14,2.1,1.8}),"MOQ="&amp;Y30),"")</f>
        <v>4.299901284476984</v>
      </c>
      <c r="Y30" s="17">
        <v>1</v>
      </c>
      <c r="Z30" s="19">
        <f>IFERROR(IF(W30="",G30,W30)*X30,"")</f>
        <v>4.2999</v>
      </c>
      <c r="AA30" s="17" t="s">
        <v>161</v>
      </c>
      <c r="AH30" s="17">
        <v>1025</v>
      </c>
      <c r="AI30" s="17"/>
      <c r="AJ30" s="18">
        <f>IFERROR(IF(OR(AI30&gt;=AK30,G30&gt;=AK30),LOOKUP(IF(AI30="",G30,AI30),{0,1,10,50,100,1000,10000},{0.0,4.15,3.66,3.66,2.91,2.4,2.24}),"MOQ="&amp;AK30),"")</f>
        <v>4.15</v>
      </c>
      <c r="AK30" s="17">
        <v>1</v>
      </c>
      <c r="AL30" s="19">
        <f>IFERROR(IF(AI30="",G30,AI30)*AJ30,"")</f>
        <v>4.15</v>
      </c>
      <c r="AM30" s="17" t="s">
        <v>194</v>
      </c>
      <c r="AN30" s="17">
        <v>627</v>
      </c>
      <c r="AO30" s="17"/>
      <c r="AP30" s="18">
        <f>IFERROR(IF(OR(AO30&gt;=AQ30,G30&gt;=AQ30),LOOKUP(IF(AO30="",G30,AO30),{0,1,10,25,50,100,250},{0.0,4.03,3.54,3.3,3.06,2.82,2.77}),"MOQ="&amp;AQ30),"")</f>
        <v>4.03</v>
      </c>
      <c r="AQ30" s="17">
        <v>1</v>
      </c>
      <c r="AR30" s="19">
        <f>IFERROR(IF(AO30="",G30,AO30)*AP30,"")</f>
        <v>4.03</v>
      </c>
      <c r="AS30" s="17" t="s">
        <v>216</v>
      </c>
      <c r="AT30" s="17">
        <v>101</v>
      </c>
      <c r="AU30" s="17"/>
      <c r="AV30" s="18">
        <f>IFERROR(IF(OR(AU30&gt;=AW30,G30&gt;=AW30),USD_GBP*LOOKUP(IF(AU30="",G30,AU30),{0,1,5,100,375,1500,3000},{0.0,1.718,1.718,1.65,1.582,1.526,1.478}),"MOQ="&amp;AW30),"")</f>
        <v/>
      </c>
      <c r="AW30" s="17">
        <v>5</v>
      </c>
      <c r="AX30" s="19">
        <f>IFERROR(IF(AU30="",G30,AU30)*AV30,"")</f>
        <v/>
      </c>
      <c r="AY30" s="17" t="s">
        <v>232</v>
      </c>
      <c r="AZ30" s="20" t="s">
        <v>106</v>
      </c>
      <c r="BA30" s="17"/>
      <c r="BB30" s="18">
        <f>IFERROR(IF(OR(BA30&gt;=BC30,G30&gt;=BC30),USD_GBP*LOOKUP(IF(BA30="",G30,BA30),{0,1,5,10,20},{0.0,2.6307,1.9427,1.5137,1.1332}),"MOQ="&amp;BC30),"")</f>
        <v>3.637218748898265</v>
      </c>
      <c r="BC30" s="17">
        <v>1</v>
      </c>
      <c r="BD30" s="19">
        <f>IFERROR(IF(BA30="",G30,BA30)*BB30,"")</f>
        <v>3.6372</v>
      </c>
      <c r="BE30" s="17" t="s">
        <v>241</v>
      </c>
    </row>
    <row r="31" spans="1:57">
      <c r="A31" s="17" t="s">
        <v>91</v>
      </c>
      <c r="B31" s="17" t="s">
        <v>92</v>
      </c>
      <c r="D31" s="17" t="s">
        <v>87</v>
      </c>
      <c r="F31" s="17" t="s">
        <v>88</v>
      </c>
      <c r="G31" s="17">
        <f>CEILING(BoardQty*1.0,1)</f>
        <v>1</v>
      </c>
      <c r="H31" s="18">
        <f>IF(MIN(L31,R31,X31,AD31,AJ31,AP31,AV31,BB31)&lt;&gt;0,MIN(L31,R31,X31,AD31,AJ31,AP31,AV31,BB31),"")</f>
        <v>2.718</v>
      </c>
      <c r="I31" s="19">
        <f>IF(AND(ISNUMBER(G31),ISNUMBER(H31)),G31*H31,"")</f>
        <v>2.718</v>
      </c>
      <c r="J31" s="20" t="s">
        <v>106</v>
      </c>
      <c r="K31" s="17"/>
      <c r="L31" s="18">
        <f>IFERROR(IF(OR(K31&gt;=M31,G31&gt;=M31),LOOKUP(IF(K31="",G31,K31),{0,1,750,1500,3000,5000,10000,25000},{0.0,2.718,2.615,2.561,2.507,2.362,2.293,2.223}),"MOQ="&amp;M31),"")</f>
        <v>2.718</v>
      </c>
      <c r="M31" s="17">
        <v>1</v>
      </c>
      <c r="N31" s="19">
        <f>IFERROR(IF(K31="",G31,K31)*L31,"")</f>
        <v>2.718</v>
      </c>
      <c r="O31" s="17" t="s">
        <v>115</v>
      </c>
      <c r="P31" s="17">
        <v>673</v>
      </c>
      <c r="Q31" s="17"/>
      <c r="R31" s="18">
        <f>IFERROR(IF(OR(Q31&gt;=S31,G31&gt;=S31),LOOKUP(IF(Q31="",G31,Q31),{0,1,10,100,1000},{0.0,4.36,3.835,3.0502,2.52735}),"MOQ="&amp;S31),"")</f>
        <v>4.36</v>
      </c>
      <c r="S31" s="17">
        <v>1</v>
      </c>
      <c r="T31" s="19">
        <f>IFERROR(IF(Q31="",G31,Q31)*R31,"")</f>
        <v>4.36</v>
      </c>
      <c r="U31" s="17" t="s">
        <v>139</v>
      </c>
      <c r="V31" s="17">
        <v>319</v>
      </c>
      <c r="W31" s="17"/>
      <c r="X31" s="18">
        <f>IFERROR(IF(OR(W31&gt;=Y31,G31&gt;=Y31),USD_GBP*LOOKUP(IF(W31="",G31,W31),{0,1,10,100,250,500,1000},{0.0,3.11,2.73,2.17,2.14,2.1,1.8}),"MOQ="&amp;Y31),"")</f>
        <v>4.299901284476984</v>
      </c>
      <c r="Y31" s="17">
        <v>1</v>
      </c>
      <c r="Z31" s="19">
        <f>IFERROR(IF(W31="",G31,W31)*X31,"")</f>
        <v>4.2999</v>
      </c>
      <c r="AA31" s="17" t="s">
        <v>161</v>
      </c>
      <c r="AH31" s="17">
        <v>1025</v>
      </c>
      <c r="AI31" s="17"/>
      <c r="AJ31" s="18">
        <f>IFERROR(IF(OR(AI31&gt;=AK31,G31&gt;=AK31),LOOKUP(IF(AI31="",G31,AI31),{0,1,10,50,100,1000,10000},{0.0,4.15,3.66,3.66,2.91,2.4,2.24}),"MOQ="&amp;AK31),"")</f>
        <v>4.15</v>
      </c>
      <c r="AK31" s="17">
        <v>1</v>
      </c>
      <c r="AL31" s="19">
        <f>IFERROR(IF(AI31="",G31,AI31)*AJ31,"")</f>
        <v>4.15</v>
      </c>
      <c r="AM31" s="17" t="s">
        <v>194</v>
      </c>
      <c r="AN31" s="17">
        <v>627</v>
      </c>
      <c r="AO31" s="17"/>
      <c r="AP31" s="18">
        <f>IFERROR(IF(OR(AO31&gt;=AQ31,G31&gt;=AQ31),LOOKUP(IF(AO31="",G31,AO31),{0,1,10,25,50,100,250},{0.0,4.03,3.54,3.3,3.06,2.82,2.77}),"MOQ="&amp;AQ31),"")</f>
        <v>4.03</v>
      </c>
      <c r="AQ31" s="17">
        <v>1</v>
      </c>
      <c r="AR31" s="19">
        <f>IFERROR(IF(AO31="",G31,AO31)*AP31,"")</f>
        <v>4.03</v>
      </c>
      <c r="AS31" s="17" t="s">
        <v>216</v>
      </c>
      <c r="AT31" s="17">
        <v>101</v>
      </c>
      <c r="AU31" s="17"/>
      <c r="AV31" s="18">
        <f>IFERROR(IF(OR(AU31&gt;=AW31,G31&gt;=AW31),USD_GBP*LOOKUP(IF(AU31="",G31,AU31),{0,1,5,100,375,1500,3000},{0.0,1.718,1.718,1.65,1.582,1.526,1.478}),"MOQ="&amp;AW31),"")</f>
        <v/>
      </c>
      <c r="AW31" s="17">
        <v>5</v>
      </c>
      <c r="AX31" s="19">
        <f>IFERROR(IF(AU31="",G31,AU31)*AV31,"")</f>
        <v/>
      </c>
      <c r="AY31" s="17" t="s">
        <v>232</v>
      </c>
      <c r="AZ31" s="20" t="s">
        <v>106</v>
      </c>
      <c r="BA31" s="17"/>
      <c r="BB31" s="18">
        <f>IFERROR(IF(OR(BA31&gt;=BC31,G31&gt;=BC31),USD_GBP*LOOKUP(IF(BA31="",G31,BA31),{0,1,5,10,20},{0.0,2.6307,1.9427,1.5137,1.1332}),"MOQ="&amp;BC31),"")</f>
        <v>3.637218748898265</v>
      </c>
      <c r="BC31" s="17">
        <v>1</v>
      </c>
      <c r="BD31" s="19">
        <f>IFERROR(IF(BA31="",G31,BA31)*BB31,"")</f>
        <v>3.6372</v>
      </c>
      <c r="BE31" s="17" t="s">
        <v>241</v>
      </c>
    </row>
    <row r="32" spans="1:57" ht="30" customHeight="1">
      <c r="A32" s="17" t="s">
        <v>93</v>
      </c>
      <c r="B32" s="17" t="s">
        <v>94</v>
      </c>
      <c r="D32" s="17" t="s">
        <v>63</v>
      </c>
      <c r="F32" s="17" t="s">
        <v>95</v>
      </c>
      <c r="G32" s="17">
        <f>CEILING(BoardQty*1.0,1)</f>
        <v>1</v>
      </c>
      <c r="H32" s="18">
        <f>IF(MIN(L32,R32,X32,AD32,AJ32,AP32,AV32,BB32)&lt;&gt;0,MIN(L32,R32,X32,AD32,AJ32,AP32,AV32,BB32),"")</f>
        <v>0.0713</v>
      </c>
      <c r="I32" s="19">
        <f>IF(AND(ISNUMBER(G32),ISNUMBER(H32)),G32*H32,"")</f>
        <v>0.0713</v>
      </c>
      <c r="J32" s="20" t="s">
        <v>106</v>
      </c>
      <c r="K32" s="17"/>
      <c r="L32" s="18">
        <f>IFERROR(IF(OR(K32&gt;=M32,G32&gt;=M32),LOOKUP(IF(K32="",G32,K32),{0,1,10,25,100,250,500,1000,3000,6000,15000},{0.0,0.0713,0.0588,0.0582,0.0252,0.0233,0.0213,0.0126,0.0117,0.0095,0.0089}),"MOQ="&amp;M32),"")</f>
        <v>0.0713</v>
      </c>
      <c r="M32" s="17">
        <v>1</v>
      </c>
      <c r="N32" s="19">
        <f>IFERROR(IF(K32="",G32,K32)*L32,"")</f>
        <v>0.0713</v>
      </c>
      <c r="O32" s="17" t="s">
        <v>116</v>
      </c>
      <c r="P32" s="17">
        <v>84594</v>
      </c>
      <c r="Q32" s="17"/>
      <c r="R32" s="18">
        <f>IFERROR(IF(OR(Q32&gt;=S32,G32&gt;=S32),LOOKUP(IF(Q32="",G32,Q32),{0,1,10,100,1000,2500,5000},{0.0,0.1,0.075,0.0288,0.01265,0.01092,0.00978}),"MOQ="&amp;S32),"")</f>
        <v>0.1</v>
      </c>
      <c r="S32" s="17">
        <v>1</v>
      </c>
      <c r="T32" s="19">
        <f>IFERROR(IF(Q32="",G32,Q32)*R32,"")</f>
        <v>0.1</v>
      </c>
      <c r="U32" s="17" t="s">
        <v>140</v>
      </c>
      <c r="V32" s="20" t="s">
        <v>106</v>
      </c>
      <c r="W32" s="17"/>
      <c r="X32" s="18">
        <f>IFERROR(IF(OR(W32&gt;=Y32,G32&gt;=Y32),USD_GBP*LOOKUP(IF(W32="",G32,W32),{0,1,10,150,5000,25000},{0.0,0.0712,0.0712,0.0712,0.0077,0.0071}),"MOQ="&amp;Y32),"")</f>
        <v/>
      </c>
      <c r="Y32" s="17">
        <v>10</v>
      </c>
      <c r="Z32" s="19">
        <f>IFERROR(IF(W32="",G32,W32)*X32,"")</f>
        <v/>
      </c>
      <c r="AA32" s="17" t="s">
        <v>162</v>
      </c>
      <c r="AB32" s="17">
        <v>29650</v>
      </c>
      <c r="AC32" s="17"/>
      <c r="AD32" s="18">
        <f>IFERROR(IF(OR(AC32&gt;=AE32,G32&gt;=AE32),LOOKUP(IF(AC32="",G32,AC32),{0,1,50,500,1500,5000,25000,50000},{0.0,0.06942,0.06942,0.05232,0.04918,0.04604,0.04465,0.04396}),"MOQ="&amp;AE32),"")</f>
        <v/>
      </c>
      <c r="AE32" s="17">
        <v>50</v>
      </c>
      <c r="AF32" s="19">
        <f>IFERROR(IF(AC32="",G32,AC32)*AD32,"")</f>
        <v/>
      </c>
      <c r="AG32" s="17" t="s">
        <v>173</v>
      </c>
      <c r="AH32" s="17">
        <v>8145</v>
      </c>
      <c r="AI32" s="17"/>
      <c r="AJ32" s="18">
        <f>IFERROR(IF(OR(AI32&gt;=AK32,G32&gt;=AK32),LOOKUP(IF(AI32="",G32,AI32),{0,1,10,50,100,1000,10000},{0.0,0.12,0.075,0.075,0.032,0.014,0.01}),"MOQ="&amp;AK32),"")</f>
        <v>0.12</v>
      </c>
      <c r="AK32" s="17">
        <v>1</v>
      </c>
      <c r="AL32" s="19">
        <f>IFERROR(IF(AI32="",G32,AI32)*AJ32,"")</f>
        <v>0.12</v>
      </c>
      <c r="AM32" s="17" t="s">
        <v>195</v>
      </c>
      <c r="AN32" s="17">
        <v>285</v>
      </c>
      <c r="AO32" s="17"/>
      <c r="AP32" s="18">
        <f>IFERROR(IF(OR(AO32&gt;=AQ32,G32&gt;=AQ32),LOOKUP(IF(AO32="",G32,AO32),{0,1,25,50,100,250,500,1000,5000,10000,50000},{0.0,0.102,0.085,0.059,0.033,0.027,0.02,0.014,0.011,0.01,0.01}),"MOQ="&amp;AQ32),"")</f>
        <v>0.102</v>
      </c>
      <c r="AQ32" s="17">
        <v>1</v>
      </c>
      <c r="AR32" s="19">
        <f>IFERROR(IF(AO32="",G32,AO32)*AP32,"")</f>
        <v>0.102</v>
      </c>
      <c r="AS32" s="17" t="s">
        <v>217</v>
      </c>
      <c r="AT32" s="17">
        <v>205000</v>
      </c>
      <c r="AU32" s="17"/>
      <c r="AV32" s="18">
        <f>IFERROR(IF(OR(AU32&gt;=AW32,G32&gt;=AW32),USD_GBP*LOOKUP(IF(AU32="",G32,AU32),{0,1,5000},{0.0,0.006,0.006}),"MOQ="&amp;AW32),"")</f>
        <v/>
      </c>
      <c r="AW32" s="17">
        <v>5000</v>
      </c>
      <c r="AX32" s="19">
        <f>IFERROR(IF(AU32="",G32,AU32)*AV32,"")</f>
        <v/>
      </c>
      <c r="AY32" s="17" t="s">
        <v>233</v>
      </c>
    </row>
    <row r="33" spans="1:56">
      <c r="A33" s="17" t="s">
        <v>96</v>
      </c>
      <c r="B33" s="17" t="s">
        <v>97</v>
      </c>
      <c r="D33" s="17" t="s">
        <v>98</v>
      </c>
      <c r="F33" s="17" t="s">
        <v>97</v>
      </c>
      <c r="G33" s="17">
        <f>CEILING(BoardQty*1.0,1)</f>
        <v>1</v>
      </c>
      <c r="H33" s="18">
        <f>IF(MIN(L33,R33,X33,AD33,AJ33,AP33,AV33,BB33)&lt;&gt;0,MIN(L33,R33,X33,AD33,AJ33,AP33,AV33,BB33),"")</f>
        <v>7.28</v>
      </c>
      <c r="I33" s="19">
        <f>IF(AND(ISNUMBER(G33),ISNUMBER(H33)),G33*H33,"")</f>
        <v>7.28</v>
      </c>
      <c r="P33" s="17">
        <v>41</v>
      </c>
      <c r="Q33" s="17"/>
      <c r="R33" s="18">
        <f>IFERROR(IF(OR(Q33&gt;=S33,G33&gt;=S33),LOOKUP(IF(Q33="",G33,Q33),{0,1,10,25,50,100,250,500,1000},{0.0,7.41,6.671,6.3356,6.0674,5.8663,5.56464,5.09532,4.86068}),"MOQ="&amp;S33),"")</f>
        <v>7.41</v>
      </c>
      <c r="S33" s="17">
        <v>1</v>
      </c>
      <c r="T33" s="19">
        <f>IFERROR(IF(Q33="",G33,Q33)*R33,"")</f>
        <v>7.41</v>
      </c>
      <c r="U33" s="17" t="s">
        <v>141</v>
      </c>
      <c r="V33" s="20" t="s">
        <v>106</v>
      </c>
      <c r="W33" s="17"/>
      <c r="X33" s="18">
        <f>IFERROR(IF(OR(W33&gt;=Y33,G33&gt;=Y33),USD_GBP*LOOKUP(IF(W33="",G33,W33),{0,1,5,10,25,50,100},{0.0,5.62,5.35,5.06,4.81,4.61,4.46}),"MOQ="&amp;Y33),"")</f>
        <v>7.770239620180275</v>
      </c>
      <c r="Y33" s="17">
        <v>1</v>
      </c>
      <c r="Z33" s="19">
        <f>IFERROR(IF(W33="",G33,W33)*X33,"")</f>
        <v>7.7702</v>
      </c>
      <c r="AA33" s="17" t="s">
        <v>163</v>
      </c>
      <c r="AH33" s="20" t="s">
        <v>106</v>
      </c>
      <c r="AI33" s="17"/>
      <c r="AJ33" s="18">
        <f>IFERROR(IF(OR(AI33&gt;=AK33,G33&gt;=AK33),LOOKUP(IF(AI33="",G33,AI33),{0,1,10,50,100,1000,10000},{0.0,7.28,6.63,6.13,5.97,4.81,4.81}),"MOQ="&amp;AK33),"")</f>
        <v>7.28</v>
      </c>
      <c r="AK33" s="17">
        <v>1</v>
      </c>
      <c r="AL33" s="19">
        <f>IFERROR(IF(AI33="",G33,AI33)*AJ33,"")</f>
        <v>7.28</v>
      </c>
      <c r="AM33" s="17" t="s">
        <v>196</v>
      </c>
      <c r="AN33" s="20" t="s">
        <v>106</v>
      </c>
      <c r="AO33" s="17"/>
      <c r="AP33" s="18">
        <f>IFERROR(IF(OR(AO33&gt;=AQ33,G33&gt;=AQ33),LOOKUP(IF(AO33="",G33,AO33),{0,1,5,10,25,50,100},{0.0,7.78,7.39,7.0,6.65,6.37,6.16}),"MOQ="&amp;AQ33),"")</f>
        <v>7.78</v>
      </c>
      <c r="AQ33" s="17">
        <v>1</v>
      </c>
      <c r="AR33" s="19">
        <f>IFERROR(IF(AO33="",G33,AO33)*AP33,"")</f>
        <v>7.78</v>
      </c>
      <c r="AS33" s="17" t="s">
        <v>218</v>
      </c>
    </row>
    <row r="34" spans="1:56">
      <c r="A34" s="17" t="s">
        <v>99</v>
      </c>
      <c r="B34" s="17" t="s">
        <v>100</v>
      </c>
      <c r="G34" s="17">
        <f>CEILING(BoardQty*2,1)</f>
        <v>2</v>
      </c>
      <c r="H34" s="18">
        <f>IF(MIN(L34,R34,X34,AD34,AJ34,AP34,AV34,BB34)&lt;&gt;0,MIN(L34,R34,X34,AD34,AJ34,AP34,AV34,BB34),"")</f>
        <v/>
      </c>
      <c r="I34" s="19">
        <f>IF(AND(ISNUMBER(G34),ISNUMBER(H34)),G34*H34,"")</f>
        <v/>
      </c>
    </row>
    <row r="36" spans="1:56">
      <c r="B36" s="21" t="s">
        <v>244</v>
      </c>
      <c r="H36" s="1" t="s">
        <v>242</v>
      </c>
      <c r="I36" s="5">
        <f>SUM(N36,T36,Z36,AF36,AL36,AR36,AX36,BD36)</f>
        <v>0</v>
      </c>
      <c r="J36" s="22" t="s">
        <v>117</v>
      </c>
      <c r="K36" s="6">
        <f>IFERROR(IF(COUNTIF(K7:K34,"&gt;0")&gt;0,COUNTIF(K7:K34,"&gt;0")&amp;" of "&amp;(ROWS(M7:M34)-COUNTBLANK(M7:M34))&amp;" parts purchased",""),"")</f>
        <v/>
      </c>
      <c r="N36" s="5">
        <f>SUMIF(K7:K34,"&gt;0",N7:N34)</f>
        <v>0</v>
      </c>
      <c r="P36" s="22" t="s">
        <v>117</v>
      </c>
      <c r="Q36" s="6">
        <f>IFERROR(IF(COUNTIF(Q7:Q34,"&gt;0")&gt;0,COUNTIF(Q7:Q34,"&gt;0")&amp;" of "&amp;(ROWS(S7:S34)-COUNTBLANK(S7:S34))&amp;" parts purchased",""),"")</f>
        <v/>
      </c>
      <c r="T36" s="5">
        <f>SUMIF(Q7:Q34,"&gt;0",T7:T34)</f>
        <v>0</v>
      </c>
      <c r="V36" s="22" t="s">
        <v>117</v>
      </c>
      <c r="W36" s="6">
        <f>IFERROR(IF(COUNTIF(W7:W34,"&gt;0")&gt;0,COUNTIF(W7:W34,"&gt;0")&amp;" of "&amp;(ROWS(Y7:Y34)-COUNTBLANK(Y7:Y34))&amp;" parts purchased",""),"")</f>
        <v/>
      </c>
      <c r="Z36" s="5">
        <f>SUMIF(W7:W34,"&gt;0",Z7:Z34)</f>
        <v>0</v>
      </c>
      <c r="AB36" s="22" t="s">
        <v>117</v>
      </c>
      <c r="AC36" s="6">
        <f>IFERROR(IF(COUNTIF(AC7:AC34,"&gt;0")&gt;0,COUNTIF(AC7:AC34,"&gt;0")&amp;" of "&amp;(ROWS(AE7:AE34)-COUNTBLANK(AE7:AE34))&amp;" parts purchased",""),"")</f>
        <v/>
      </c>
      <c r="AF36" s="5">
        <f>SUMIF(AC7:AC34,"&gt;0",AF7:AF34)</f>
        <v>0</v>
      </c>
      <c r="AH36" s="22" t="s">
        <v>117</v>
      </c>
      <c r="AI36" s="6">
        <f>IFERROR(IF(COUNTIF(AI7:AI34,"&gt;0")&gt;0,COUNTIF(AI7:AI34,"&gt;0")&amp;" of "&amp;(ROWS(AK7:AK34)-COUNTBLANK(AK7:AK34))&amp;" parts purchased",""),"")</f>
        <v/>
      </c>
      <c r="AL36" s="5">
        <f>SUMIF(AI7:AI34,"&gt;0",AL7:AL34)</f>
        <v>0</v>
      </c>
      <c r="AN36" s="22" t="s">
        <v>117</v>
      </c>
      <c r="AO36" s="6">
        <f>IFERROR(IF(COUNTIF(AO7:AO34,"&gt;0")&gt;0,COUNTIF(AO7:AO34,"&gt;0")&amp;" of "&amp;(ROWS(AQ7:AQ34)-COUNTBLANK(AQ7:AQ34))&amp;" parts purchased",""),"")</f>
        <v/>
      </c>
      <c r="AR36" s="5">
        <f>SUMIF(AO7:AO34,"&gt;0",AR7:AR34)</f>
        <v>0</v>
      </c>
      <c r="AT36" s="22" t="s">
        <v>117</v>
      </c>
      <c r="AU36" s="6">
        <f>IFERROR(IF(COUNTIF(AU7:AU34,"&gt;0")&gt;0,COUNTIF(AU7:AU34,"&gt;0")&amp;" of "&amp;(ROWS(AW7:AW34)-COUNTBLANK(AW7:AW34))&amp;" parts purchased",""),"")</f>
        <v/>
      </c>
      <c r="AX36" s="5">
        <f>SUMIF(AU7:AU34,"&gt;0",AX7:AX34)</f>
        <v>0</v>
      </c>
      <c r="AZ36" s="22" t="s">
        <v>117</v>
      </c>
      <c r="BA36" s="6">
        <f>IFERROR(IF(COUNTIF(BA7:BA34,"&gt;0")&gt;0,COUNTIF(BA7:BA34,"&gt;0")&amp;" of "&amp;(ROWS(BC7:BC34)-COUNTBLANK(BC7:BC34))&amp;" parts purchased",""),"")</f>
        <v/>
      </c>
      <c r="BD36" s="5">
        <f>SUMIF(BA7:BA34,"&gt;0",BD7:BD34)</f>
        <v>0</v>
      </c>
    </row>
    <row r="37" spans="1:56">
      <c r="B37" s="21" t="s">
        <v>245</v>
      </c>
      <c r="C37">
        <v>1.382604914622825</v>
      </c>
      <c r="H37" s="21" t="s">
        <v>243</v>
      </c>
      <c r="K37" s="23">
        <f>CONCATENATE(K66,K67,K68,K69,K70,K71,K72,K73,K74,K75,K76,K77,K78,K79,K80,K81,K82,K83,K84,K85,K86,K87,K88,K89,K90,K91,K92,K93)</f>
        <v/>
      </c>
      <c r="Q37" s="23">
        <f>CONCATENATE(Q66,Q67,Q68,Q69,Q70,Q71,Q72,Q73,Q74,Q75,Q76,Q77,Q78,Q79,Q80,Q81,Q82,Q83,Q84,Q85,Q86,Q87,Q88,Q89,Q90,Q91,Q92,Q93)</f>
        <v/>
      </c>
      <c r="W37" s="23">
        <f>CONCATENATE(W66,W67,W68,W69,W70,W71,W72,W73,W74,W75,W76,W77,W78,W79,W80,W81,W82,W83,W84,W85,W86,W87,W88,W89,W90,W91,W92,W93)</f>
        <v/>
      </c>
      <c r="AC37" s="23" t="str">
        <f>CONCATENATE(AC94,AC66,AC67,AC68,AC69,AC70,AC71,AC72,AC73,AC74,AC75,AC76,AC77,AC78,AC79,AC80,AC81,AC82,AC83,AC84,AC85,AC86,AC87,AC88,AC89,AC90,AC91,AC92,AC93)</f>
        <v>Copy this header and order to a CSV
file and use it for JLCPCB 
manufacturer PCB house.
The multipart components that use
"#" symbol are not allowed by JLCPCB.</v>
      </c>
      <c r="AI37" s="23">
        <f>CONCATENATE(AI66,AI67,AI68,AI69,AI70,AI71,AI72,AI73,AI74,AI75,AI76,AI77,AI78,AI79,AI80,AI81,AI82,AI83,AI84,AI85,AI86,AI87,AI88,AI89,AI90,AI91,AI92,AI93)</f>
        <v/>
      </c>
      <c r="AO37" s="23">
        <f>CONCATENATE(AO66,AO67,AO68,AO69,AO70,AO71,AO72,AO73,AO74,AO75,AO76,AO77,AO78,AO79,AO80,AO81,AO82,AO83,AO84,AO85,AO86,AO87,AO88,AO89,AO90,AO91,AO92,AO93)</f>
        <v/>
      </c>
      <c r="AU37" s="23">
        <f>CONCATENATE(AU66,AU67,AU68,AU69,AU70,AU71,AU72,AU73,AU74,AU75,AU76,AU77,AU78,AU79,AU80,AU81,AU82,AU83,AU84,AU85,AU86,AU87,AU88,AU89,AU90,AU91,AU92,AU93)</f>
        <v/>
      </c>
      <c r="BA37" s="23">
        <f>CONCATENATE(BA66,BA67,BA68,BA69,BA70,BA71,BA72,BA73,BA74,BA75,BA76,BA77,BA78,BA79,BA80,BA81,BA82,BA83,BA84,BA85,BA86,BA87,BA88,BA89,BA90,BA91,BA92,BA93)</f>
        <v/>
      </c>
    </row>
    <row r="39" spans="1:56">
      <c r="A39" s="2" t="s">
        <v>257</v>
      </c>
    </row>
    <row r="66" spans="11:53" ht="30" hidden="1" customHeight="1">
      <c r="K66" t="str">
        <f t="array" ref="K66:K93">IF(ISNUMBER(K7:K34)*(K7:K34&gt;=M7:M34)*(O7:O34&lt;&gt;""),O7:O34&amp;","&amp;TEXT(ROUNDUP(K7:K34/IF(ISNUMBER(M7:M34),M7:M34,1))*M7:M34,"##0")&amp;","&amp;SUBSTITUTE(SUBSTITUTE(IF(PURCHASE_DESCRIPTION&lt;&gt;"",PURCHASE_DESCRIPTION&amp;":","")&amp;A7:A34,",",";"),"
"," ")&amp;CHAR(10),"")</f>
        <v/>
      </c>
      <c r="Q66" t="str">
        <f t="array" ref="Q66:Q93">IF(ISNUMBER(Q7:Q34)*(Q7:Q34&gt;=S7:S34)*(U7:U34&lt;&gt;""),TEXT(ROUNDUP(Q7:Q34/IF(ISNUMBER(S7:S34),S7:S34,1))*S7:S34,"##0")&amp;","&amp;U7:U34&amp;","&amp;SUBSTITUTE(SUBSTITUTE(IF(PURCHASE_DESCRIPTION&lt;&gt;"",PURCHASE_DESCRIPTION&amp;":","")&amp;A7:A34,",",";"),"
"," ")&amp;CHAR(10),"")</f>
        <v/>
      </c>
      <c r="W66" t="str">
        <f t="array" ref="W66:W93">IF(ISNUMBER(W7:W34)*(W7:W34&gt;=Y7:Y34)*(AA7:AA34&lt;&gt;""),AA7:AA34&amp;","&amp;TEXT(ROUNDUP(W7:W34/IF(ISNUMBER(Y7:Y34),Y7:Y34,1))*Y7:Y34,"##0")&amp;","&amp;LEFT(SUBSTITUTE(SUBSTITUTE(IF(PURCHASE_DESCRIPTION&lt;&gt;"",PURCHASE_DESCRIPTION&amp;":","")&amp;C7:C34,",",";"),"
"," "),30)&amp;","&amp;LEFT(SUBSTITUTE(SUBSTITUTE(IF(PURCHASE_DESCRIPTION&lt;&gt;"",PURCHASE_DESCRIPTION&amp;":","")&amp;A7:A34,",",";"),"
"," "),30)&amp;CHAR(10),"")</f>
        <v/>
      </c>
      <c r="AC66" t="str">
        <f t="array" ref="AC66:AC93">IF(ISNUMBER(AC7:AC34)*(AC7:AC34&gt;=AE7:AE34)*(AG7:AG34&lt;&gt;""),TEXT(ROUNDUP(AC7:AC34/IF(ISNUMBER(AE7:AE34),AE7:AE34,1))*AE7:AE34,"##0")&amp;","&amp;SUBSTITUTE(SUBSTITUTE(IF(PURCHASE_DESCRIPTION&lt;&gt;"",PURCHASE_DESCRIPTION&amp;":","")&amp;A7:A34,",",";"),"
"," ")&amp;","&amp;SUBSTITUTE(SUBSTITUTE(IF(PURCHASE_DESCRIPTION&lt;&gt;"",PURCHASE_DESCRIPTION&amp;":","")&amp;D7:D34,",",";"),"
"," ")&amp;","&amp;AG7:AG34&amp;CHAR(10),"")</f>
        <v/>
      </c>
      <c r="AI66" t="str">
        <f t="array" ref="AI66:AI93">IF(ISNUMBER(AI7:AI34)*(AI7:AI34&gt;=AK7:AK34)*(AM7:AM34&lt;&gt;""),AM7:AM34&amp;"|"&amp;TEXT(ROUNDUP(AI7:AI34/IF(ISNUMBER(AK7:AK34),AK7:AK34,1))*AK7:AK34,"##0")&amp;"|"&amp;SUBSTITUTE(SUBSTITUTE(SUBSTITUTE(IF(PURCHASE_DESCRIPTION&lt;&gt;"",PURCHASE_DESCRIPTION&amp;":","")&amp;A7:A34,"|",";")," ","_"),"
","_")&amp;CHAR(10),"")</f>
        <v/>
      </c>
      <c r="AO66" t="str">
        <f t="array" ref="AO66:AO93">IF(ISNUMBER(AO7:AO34)*(AO7:AO34&gt;=AQ7:AQ34)*(AS7:AS34&lt;&gt;""),AS7:AS34&amp;","&amp;TEXT(ROUNDUP(AO7:AO34/IF(ISNUMBER(AQ7:AQ34),AQ7:AQ34,1))*AQ7:AQ34,"##0")&amp;","&amp;SUBSTITUTE(SUBSTITUTE(IF(PURCHASE_DESCRIPTION&lt;&gt;"",PURCHASE_DESCRIPTION&amp;":","")&amp;A7:A34,",",";"),"
"," ")&amp;","&amp;SUBSTITUTE(SUBSTITUTE(IF(PURCHASE_DESCRIPTION&lt;&gt;"",PURCHASE_DESCRIPTION&amp;":","")&amp;C7:C34,",",";"),"
"," ")&amp;CHAR(10),"")</f>
        <v/>
      </c>
      <c r="AU66" t="str">
        <f t="array" ref="AU66:AU93">IF(ISNUMBER(AU7:AU34)*(AU7:AU34&gt;=AW7:AW34)*(AY7:AY34&lt;&gt;""),AY7:AY34&amp;","&amp;TEXT(ROUNDUP(AU7:AU34/IF(ISNUMBER(AW7:AW34),AW7:AW34,1))*AW7:AW34,"##0")&amp;","&amp;""&amp;","&amp;""&amp;","&amp;""&amp;","&amp;F7:F34&amp;","&amp;SUBSTITUTE(SUBSTITUTE(IF(PURCHASE_DESCRIPTION&lt;&gt;"",PURCHASE_DESCRIPTION&amp;":","")&amp;A7:A34,",",";"),"
"," ")&amp;CHAR(10),"")</f>
        <v/>
      </c>
      <c r="BA66" t="str">
        <f t="array" ref="BA66:BA93">IF(ISNUMBER(BA7:BA34)*(BA7:BA34&gt;=BC7:BC34)*(BE7:BE34&lt;&gt;""),BE7:BE34&amp;" "&amp;TEXT(ROUNDUP(BA7:BA34/IF(ISNUMBER(BC7:BC34),BC7:BC34,1))*BC7:BC34,"##0")&amp;" "&amp;SUBSTITUTE(SUBSTITUTE(IF(PURCHASE_DESCRIPTION&lt;&gt;"",PURCHASE_DESCRIPTION&amp;":","")&amp;A7:A34," ",";"),"
",";")&amp;CHAR(10),"")</f>
        <v/>
      </c>
    </row>
    <row r="67" spans="11:53" ht="30" hidden="1" customHeight="1">
      <c r="K67">
        <v>0</v>
      </c>
      <c r="Q67">
        <v>0</v>
      </c>
      <c r="W67">
        <v>0</v>
      </c>
      <c r="AC67">
        <v>0</v>
      </c>
      <c r="AI67">
        <v>0</v>
      </c>
      <c r="AO67">
        <v>0</v>
      </c>
      <c r="AU67">
        <v>0</v>
      </c>
      <c r="BA67">
        <v>0</v>
      </c>
    </row>
    <row r="68" spans="11:53" ht="30" hidden="1" customHeight="1">
      <c r="K68">
        <v>0</v>
      </c>
      <c r="Q68">
        <v>0</v>
      </c>
      <c r="W68">
        <v>0</v>
      </c>
      <c r="AC68">
        <v>0</v>
      </c>
      <c r="AI68">
        <v>0</v>
      </c>
      <c r="AO68">
        <v>0</v>
      </c>
      <c r="AU68">
        <v>0</v>
      </c>
      <c r="BA68">
        <v>0</v>
      </c>
    </row>
    <row r="69" spans="11:53" ht="30" hidden="1" customHeight="1">
      <c r="K69">
        <v>0</v>
      </c>
      <c r="Q69">
        <v>0</v>
      </c>
      <c r="W69">
        <v>0</v>
      </c>
      <c r="AC69">
        <v>0</v>
      </c>
      <c r="AI69">
        <v>0</v>
      </c>
      <c r="AO69">
        <v>0</v>
      </c>
      <c r="AU69">
        <v>0</v>
      </c>
      <c r="BA69">
        <v>0</v>
      </c>
    </row>
    <row r="70" spans="11:53" ht="30" hidden="1" customHeight="1">
      <c r="K70">
        <v>0</v>
      </c>
      <c r="Q70">
        <v>0</v>
      </c>
      <c r="W70">
        <v>0</v>
      </c>
      <c r="AC70">
        <v>0</v>
      </c>
      <c r="AI70">
        <v>0</v>
      </c>
      <c r="AO70">
        <v>0</v>
      </c>
      <c r="AU70">
        <v>0</v>
      </c>
      <c r="BA70">
        <v>0</v>
      </c>
    </row>
    <row r="71" spans="11:53" ht="30" hidden="1" customHeight="1">
      <c r="K71">
        <v>0</v>
      </c>
      <c r="Q71">
        <v>0</v>
      </c>
      <c r="W71">
        <v>0</v>
      </c>
      <c r="AC71">
        <v>0</v>
      </c>
      <c r="AI71">
        <v>0</v>
      </c>
      <c r="AO71">
        <v>0</v>
      </c>
      <c r="AU71">
        <v>0</v>
      </c>
      <c r="BA71">
        <v>0</v>
      </c>
    </row>
    <row r="72" spans="11:53" ht="30" hidden="1" customHeight="1">
      <c r="K72">
        <v>0</v>
      </c>
      <c r="Q72">
        <v>0</v>
      </c>
      <c r="W72">
        <v>0</v>
      </c>
      <c r="AC72">
        <v>0</v>
      </c>
      <c r="AI72">
        <v>0</v>
      </c>
      <c r="AO72">
        <v>0</v>
      </c>
      <c r="AU72">
        <v>0</v>
      </c>
      <c r="BA72">
        <v>0</v>
      </c>
    </row>
    <row r="73" spans="11:53" ht="30" hidden="1" customHeight="1">
      <c r="K73">
        <v>0</v>
      </c>
      <c r="Q73">
        <v>0</v>
      </c>
      <c r="W73">
        <v>0</v>
      </c>
      <c r="AC73">
        <v>0</v>
      </c>
      <c r="AI73">
        <v>0</v>
      </c>
      <c r="AO73">
        <v>0</v>
      </c>
      <c r="AU73">
        <v>0</v>
      </c>
      <c r="BA73">
        <v>0</v>
      </c>
    </row>
    <row r="74" spans="11:53" ht="30" hidden="1" customHeight="1">
      <c r="K74">
        <v>0</v>
      </c>
      <c r="Q74">
        <v>0</v>
      </c>
      <c r="W74">
        <v>0</v>
      </c>
      <c r="AC74">
        <v>0</v>
      </c>
      <c r="AI74">
        <v>0</v>
      </c>
      <c r="AO74">
        <v>0</v>
      </c>
      <c r="AU74">
        <v>0</v>
      </c>
      <c r="BA74">
        <v>0</v>
      </c>
    </row>
    <row r="75" spans="11:53" ht="30" hidden="1" customHeight="1">
      <c r="K75">
        <v>0</v>
      </c>
      <c r="Q75">
        <v>0</v>
      </c>
      <c r="W75">
        <v>0</v>
      </c>
      <c r="AC75">
        <v>0</v>
      </c>
      <c r="AI75">
        <v>0</v>
      </c>
      <c r="AO75">
        <v>0</v>
      </c>
      <c r="AU75">
        <v>0</v>
      </c>
      <c r="BA75">
        <v>0</v>
      </c>
    </row>
    <row r="76" spans="11:53" ht="30" hidden="1" customHeight="1">
      <c r="K76">
        <v>0</v>
      </c>
      <c r="Q76">
        <v>0</v>
      </c>
      <c r="W76">
        <v>0</v>
      </c>
      <c r="AC76">
        <v>0</v>
      </c>
      <c r="AI76">
        <v>0</v>
      </c>
      <c r="AO76">
        <v>0</v>
      </c>
      <c r="AU76">
        <v>0</v>
      </c>
      <c r="BA76">
        <v>0</v>
      </c>
    </row>
    <row r="77" spans="11:53" ht="30" hidden="1" customHeight="1">
      <c r="K77">
        <v>0</v>
      </c>
      <c r="Q77">
        <v>0</v>
      </c>
      <c r="W77">
        <v>0</v>
      </c>
      <c r="AC77">
        <v>0</v>
      </c>
      <c r="AI77">
        <v>0</v>
      </c>
      <c r="AO77">
        <v>0</v>
      </c>
      <c r="AU77">
        <v>0</v>
      </c>
      <c r="BA77">
        <v>0</v>
      </c>
    </row>
    <row r="78" spans="11:53" ht="30" hidden="1" customHeight="1">
      <c r="K78">
        <v>0</v>
      </c>
      <c r="Q78">
        <v>0</v>
      </c>
      <c r="W78">
        <v>0</v>
      </c>
      <c r="AC78">
        <v>0</v>
      </c>
      <c r="AI78">
        <v>0</v>
      </c>
      <c r="AO78">
        <v>0</v>
      </c>
      <c r="AU78">
        <v>0</v>
      </c>
      <c r="BA78">
        <v>0</v>
      </c>
    </row>
    <row r="79" spans="11:53" ht="30" hidden="1" customHeight="1">
      <c r="K79">
        <v>0</v>
      </c>
      <c r="Q79">
        <v>0</v>
      </c>
      <c r="W79">
        <v>0</v>
      </c>
      <c r="AC79">
        <v>0</v>
      </c>
      <c r="AI79">
        <v>0</v>
      </c>
      <c r="AO79">
        <v>0</v>
      </c>
      <c r="AU79">
        <v>0</v>
      </c>
      <c r="BA79">
        <v>0</v>
      </c>
    </row>
    <row r="80" spans="11:53" ht="30" hidden="1" customHeight="1">
      <c r="K80">
        <v>0</v>
      </c>
      <c r="Q80">
        <v>0</v>
      </c>
      <c r="W80">
        <v>0</v>
      </c>
      <c r="AC80">
        <v>0</v>
      </c>
      <c r="AI80">
        <v>0</v>
      </c>
      <c r="AO80">
        <v>0</v>
      </c>
      <c r="AU80">
        <v>0</v>
      </c>
      <c r="BA80">
        <v>0</v>
      </c>
    </row>
    <row r="81" spans="11:53" ht="30" hidden="1" customHeight="1">
      <c r="K81">
        <v>0</v>
      </c>
      <c r="Q81">
        <v>0</v>
      </c>
      <c r="W81">
        <v>0</v>
      </c>
      <c r="AC81">
        <v>0</v>
      </c>
      <c r="AI81">
        <v>0</v>
      </c>
      <c r="AO81">
        <v>0</v>
      </c>
      <c r="AU81">
        <v>0</v>
      </c>
      <c r="BA81">
        <v>0</v>
      </c>
    </row>
    <row r="82" spans="11:53" ht="30" hidden="1" customHeight="1">
      <c r="K82">
        <v>0</v>
      </c>
      <c r="Q82">
        <v>0</v>
      </c>
      <c r="W82">
        <v>0</v>
      </c>
      <c r="AC82">
        <v>0</v>
      </c>
      <c r="AI82">
        <v>0</v>
      </c>
      <c r="AO82">
        <v>0</v>
      </c>
      <c r="AU82">
        <v>0</v>
      </c>
      <c r="BA82">
        <v>0</v>
      </c>
    </row>
    <row r="83" spans="11:53" ht="30" hidden="1" customHeight="1">
      <c r="K83">
        <v>0</v>
      </c>
      <c r="Q83">
        <v>0</v>
      </c>
      <c r="W83">
        <v>0</v>
      </c>
      <c r="AC83">
        <v>0</v>
      </c>
      <c r="AI83">
        <v>0</v>
      </c>
      <c r="AO83">
        <v>0</v>
      </c>
      <c r="AU83">
        <v>0</v>
      </c>
      <c r="BA83">
        <v>0</v>
      </c>
    </row>
    <row r="84" spans="11:53" ht="30" hidden="1" customHeight="1">
      <c r="K84">
        <v>0</v>
      </c>
      <c r="Q84">
        <v>0</v>
      </c>
      <c r="W84">
        <v>0</v>
      </c>
      <c r="AC84">
        <v>0</v>
      </c>
      <c r="AI84">
        <v>0</v>
      </c>
      <c r="AO84">
        <v>0</v>
      </c>
      <c r="AU84">
        <v>0</v>
      </c>
      <c r="BA84">
        <v>0</v>
      </c>
    </row>
    <row r="85" spans="11:53" ht="30" hidden="1" customHeight="1">
      <c r="K85">
        <v>0</v>
      </c>
      <c r="Q85">
        <v>0</v>
      </c>
      <c r="W85">
        <v>0</v>
      </c>
      <c r="AC85">
        <v>0</v>
      </c>
      <c r="AI85">
        <v>0</v>
      </c>
      <c r="AO85">
        <v>0</v>
      </c>
      <c r="AU85">
        <v>0</v>
      </c>
      <c r="BA85">
        <v>0</v>
      </c>
    </row>
    <row r="86" spans="11:53" ht="30" hidden="1" customHeight="1">
      <c r="K86">
        <v>0</v>
      </c>
      <c r="Q86">
        <v>0</v>
      </c>
      <c r="W86">
        <v>0</v>
      </c>
      <c r="AC86">
        <v>0</v>
      </c>
      <c r="AI86">
        <v>0</v>
      </c>
      <c r="AO86">
        <v>0</v>
      </c>
      <c r="AU86">
        <v>0</v>
      </c>
      <c r="BA86">
        <v>0</v>
      </c>
    </row>
    <row r="87" spans="11:53" ht="30" hidden="1" customHeight="1">
      <c r="K87">
        <v>0</v>
      </c>
      <c r="Q87">
        <v>0</v>
      </c>
      <c r="W87">
        <v>0</v>
      </c>
      <c r="AC87">
        <v>0</v>
      </c>
      <c r="AI87">
        <v>0</v>
      </c>
      <c r="AO87">
        <v>0</v>
      </c>
      <c r="AU87">
        <v>0</v>
      </c>
      <c r="BA87">
        <v>0</v>
      </c>
    </row>
    <row r="88" spans="11:53" ht="30" hidden="1" customHeight="1">
      <c r="K88">
        <v>0</v>
      </c>
      <c r="Q88">
        <v>0</v>
      </c>
      <c r="W88">
        <v>0</v>
      </c>
      <c r="AC88">
        <v>0</v>
      </c>
      <c r="AI88">
        <v>0</v>
      </c>
      <c r="AO88">
        <v>0</v>
      </c>
      <c r="AU88">
        <v>0</v>
      </c>
      <c r="BA88">
        <v>0</v>
      </c>
    </row>
    <row r="89" spans="11:53" ht="30" hidden="1" customHeight="1">
      <c r="K89">
        <v>0</v>
      </c>
      <c r="Q89">
        <v>0</v>
      </c>
      <c r="W89">
        <v>0</v>
      </c>
      <c r="AC89">
        <v>0</v>
      </c>
      <c r="AI89">
        <v>0</v>
      </c>
      <c r="AO89">
        <v>0</v>
      </c>
      <c r="AU89">
        <v>0</v>
      </c>
      <c r="BA89">
        <v>0</v>
      </c>
    </row>
    <row r="90" spans="11:53" ht="30" hidden="1" customHeight="1">
      <c r="K90">
        <v>0</v>
      </c>
      <c r="Q90">
        <v>0</v>
      </c>
      <c r="W90">
        <v>0</v>
      </c>
      <c r="AC90">
        <v>0</v>
      </c>
      <c r="AI90">
        <v>0</v>
      </c>
      <c r="AO90">
        <v>0</v>
      </c>
      <c r="AU90">
        <v>0</v>
      </c>
      <c r="BA90">
        <v>0</v>
      </c>
    </row>
    <row r="91" spans="11:53" ht="30" hidden="1" customHeight="1">
      <c r="K91">
        <v>0</v>
      </c>
      <c r="Q91">
        <v>0</v>
      </c>
      <c r="W91">
        <v>0</v>
      </c>
      <c r="AC91">
        <v>0</v>
      </c>
      <c r="AI91">
        <v>0</v>
      </c>
      <c r="AO91">
        <v>0</v>
      </c>
      <c r="AU91">
        <v>0</v>
      </c>
      <c r="BA91">
        <v>0</v>
      </c>
    </row>
    <row r="92" spans="11:53" ht="30" hidden="1" customHeight="1">
      <c r="K92">
        <v>0</v>
      </c>
      <c r="Q92">
        <v>0</v>
      </c>
      <c r="W92">
        <v>0</v>
      </c>
      <c r="AC92">
        <v>0</v>
      </c>
      <c r="AI92">
        <v>0</v>
      </c>
      <c r="AO92">
        <v>0</v>
      </c>
      <c r="AU92">
        <v>0</v>
      </c>
      <c r="BA92">
        <v>0</v>
      </c>
    </row>
    <row r="93" spans="11:53" ht="30" hidden="1" customHeight="1">
      <c r="K93">
        <v>0</v>
      </c>
      <c r="Q93">
        <v>0</v>
      </c>
      <c r="W93">
        <v>0</v>
      </c>
      <c r="AC93">
        <v>0</v>
      </c>
      <c r="AI93">
        <v>0</v>
      </c>
      <c r="AO93">
        <v>0</v>
      </c>
      <c r="AU93">
        <v>0</v>
      </c>
      <c r="BA93">
        <v>0</v>
      </c>
    </row>
    <row r="94" spans="11:53" ht="30" hidden="1" customHeight="1">
      <c r="AC94">
        <f>IFERROR(IF(COUNTIFS(AC7:AC34,"&gt;0",AF7:AF34,"&lt;&gt;")&gt;0,"Quantity,Comment,Designator,Footprint,LCSC Part #(optional)"&amp;CHAR(10),""),"")</f>
        <v/>
      </c>
    </row>
  </sheetData>
  <mergeCells count="17">
    <mergeCell ref="A5:I5"/>
    <mergeCell ref="J5:O5"/>
    <mergeCell ref="K37:N65"/>
    <mergeCell ref="P5:U5"/>
    <mergeCell ref="Q37:T65"/>
    <mergeCell ref="V5:AA5"/>
    <mergeCell ref="W37:Z65"/>
    <mergeCell ref="AB5:AG5"/>
    <mergeCell ref="AC37:AF65"/>
    <mergeCell ref="AH5:AM5"/>
    <mergeCell ref="AI37:AL65"/>
    <mergeCell ref="AN5:AS5"/>
    <mergeCell ref="AO37:AR65"/>
    <mergeCell ref="AT5:AY5"/>
    <mergeCell ref="AU37:AX65"/>
    <mergeCell ref="AZ5:BE5"/>
    <mergeCell ref="BA37:BD65"/>
  </mergeCells>
  <conditionalFormatting sqref="AB10">
    <cfRule type="cellIs" dxfId="0" priority="401" operator="lessThan">
      <formula>G10</formula>
    </cfRule>
  </conditionalFormatting>
  <conditionalFormatting sqref="AB21">
    <cfRule type="cellIs" dxfId="0" priority="409" operator="lessThan">
      <formula>G21</formula>
    </cfRule>
  </conditionalFormatting>
  <conditionalFormatting sqref="AB22">
    <cfRule type="cellIs" dxfId="0" priority="414" operator="lessThan">
      <formula>G22</formula>
    </cfRule>
  </conditionalFormatting>
  <conditionalFormatting sqref="AB23">
    <cfRule type="cellIs" dxfId="0" priority="422" operator="lessThan">
      <formula>G23</formula>
    </cfRule>
  </conditionalFormatting>
  <conditionalFormatting sqref="AB24">
    <cfRule type="cellIs" dxfId="0" priority="430" operator="lessThan">
      <formula>G24</formula>
    </cfRule>
  </conditionalFormatting>
  <conditionalFormatting sqref="AB25">
    <cfRule type="cellIs" dxfId="0" priority="438" operator="lessThan">
      <formula>G25</formula>
    </cfRule>
  </conditionalFormatting>
  <conditionalFormatting sqref="AB26">
    <cfRule type="cellIs" dxfId="0" priority="446" operator="lessThan">
      <formula>G26</formula>
    </cfRule>
  </conditionalFormatting>
  <conditionalFormatting sqref="AB27">
    <cfRule type="cellIs" dxfId="0" priority="454" operator="lessThan">
      <formula>G27</formula>
    </cfRule>
  </conditionalFormatting>
  <conditionalFormatting sqref="AB28">
    <cfRule type="cellIs" dxfId="0" priority="462" operator="lessThan">
      <formula>G28</formula>
    </cfRule>
  </conditionalFormatting>
  <conditionalFormatting sqref="AB32">
    <cfRule type="cellIs" dxfId="0" priority="470" operator="lessThan">
      <formula>G32</formula>
    </cfRule>
  </conditionalFormatting>
  <conditionalFormatting sqref="AC10">
    <cfRule type="expression" dxfId="3" priority="402">
      <formula>AND(AC10&gt;0,MOD(AC10,AE10)&lt;&gt;0)</formula>
    </cfRule>
    <cfRule type="expression" dxfId="1" priority="403">
      <formula>AND(NOT(ISBLANK(AC10)),OR(AB10="NonStk",AC10&gt;AB10))</formula>
    </cfRule>
  </conditionalFormatting>
  <conditionalFormatting sqref="AC21">
    <cfRule type="expression" dxfId="3" priority="410">
      <formula>AND(AC21&gt;0,MOD(AC21,AE21)&lt;&gt;0)</formula>
    </cfRule>
    <cfRule type="expression" dxfId="1" priority="411">
      <formula>AND(NOT(ISBLANK(AC21)),OR(AB21="NonStk",AC21&gt;AB21))</formula>
    </cfRule>
  </conditionalFormatting>
  <conditionalFormatting sqref="AC22">
    <cfRule type="expression" dxfId="3" priority="415">
      <formula>AND(AC22&gt;0,MOD(AC22,AE22)&lt;&gt;0)</formula>
    </cfRule>
    <cfRule type="expression" dxfId="1" priority="416">
      <formula>AND(NOT(ISBLANK(AC22)),OR(AB22="NonStk",AC22&gt;AB22))</formula>
    </cfRule>
  </conditionalFormatting>
  <conditionalFormatting sqref="AC23">
    <cfRule type="expression" dxfId="3" priority="423">
      <formula>AND(AC23&gt;0,MOD(AC23,AE23)&lt;&gt;0)</formula>
    </cfRule>
    <cfRule type="expression" dxfId="1" priority="424">
      <formula>AND(NOT(ISBLANK(AC23)),OR(AB23="NonStk",AC23&gt;AB23))</formula>
    </cfRule>
  </conditionalFormatting>
  <conditionalFormatting sqref="AC24">
    <cfRule type="expression" dxfId="3" priority="431">
      <formula>AND(AC24&gt;0,MOD(AC24,AE24)&lt;&gt;0)</formula>
    </cfRule>
    <cfRule type="expression" dxfId="1" priority="432">
      <formula>AND(NOT(ISBLANK(AC24)),OR(AB24="NonStk",AC24&gt;AB24))</formula>
    </cfRule>
  </conditionalFormatting>
  <conditionalFormatting sqref="AC25">
    <cfRule type="expression" dxfId="3" priority="439">
      <formula>AND(AC25&gt;0,MOD(AC25,AE25)&lt;&gt;0)</formula>
    </cfRule>
    <cfRule type="expression" dxfId="1" priority="440">
      <formula>AND(NOT(ISBLANK(AC25)),OR(AB25="NonStk",AC25&gt;AB25))</formula>
    </cfRule>
  </conditionalFormatting>
  <conditionalFormatting sqref="AC26">
    <cfRule type="expression" dxfId="3" priority="447">
      <formula>AND(AC26&gt;0,MOD(AC26,AE26)&lt;&gt;0)</formula>
    </cfRule>
    <cfRule type="expression" dxfId="1" priority="448">
      <formula>AND(NOT(ISBLANK(AC26)),OR(AB26="NonStk",AC26&gt;AB26))</formula>
    </cfRule>
  </conditionalFormatting>
  <conditionalFormatting sqref="AC27">
    <cfRule type="expression" dxfId="3" priority="455">
      <formula>AND(AC27&gt;0,MOD(AC27,AE27)&lt;&gt;0)</formula>
    </cfRule>
    <cfRule type="expression" dxfId="1" priority="456">
      <formula>AND(NOT(ISBLANK(AC27)),OR(AB27="NonStk",AC27&gt;AB27))</formula>
    </cfRule>
  </conditionalFormatting>
  <conditionalFormatting sqref="AC28">
    <cfRule type="expression" dxfId="3" priority="463">
      <formula>AND(AC28&gt;0,MOD(AC28,AE28)&lt;&gt;0)</formula>
    </cfRule>
    <cfRule type="expression" dxfId="1" priority="464">
      <formula>AND(NOT(ISBLANK(AC28)),OR(AB28="NonStk",AC28&gt;AB28))</formula>
    </cfRule>
  </conditionalFormatting>
  <conditionalFormatting sqref="AC32">
    <cfRule type="expression" dxfId="3" priority="471">
      <formula>AND(AC32&gt;0,MOD(AC32,AE32)&lt;&gt;0)</formula>
    </cfRule>
    <cfRule type="expression" dxfId="1" priority="472">
      <formula>AND(NOT(ISBLANK(AC32)),OR(AB32="NonStk",AC32&gt;AB32))</formula>
    </cfRule>
  </conditionalFormatting>
  <conditionalFormatting sqref="AD10">
    <cfRule type="cellIs" dxfId="2" priority="405" operator="lessThanOrEqual">
      <formula>H10</formula>
    </cfRule>
    <cfRule type="expression" dxfId="3" priority="406">
      <formula>AND(G10&lt;20,AC10&lt;20)</formula>
    </cfRule>
  </conditionalFormatting>
  <conditionalFormatting sqref="AD21">
    <cfRule type="cellIs" dxfId="2" priority="413" operator="lessThanOrEqual">
      <formula>H21</formula>
    </cfRule>
  </conditionalFormatting>
  <conditionalFormatting sqref="AD22">
    <cfRule type="cellIs" dxfId="2" priority="418" operator="lessThanOrEqual">
      <formula>H22</formula>
    </cfRule>
    <cfRule type="expression" dxfId="3" priority="419">
      <formula>AND(G22&lt;50,AC22&lt;50)</formula>
    </cfRule>
  </conditionalFormatting>
  <conditionalFormatting sqref="AD23">
    <cfRule type="cellIs" dxfId="2" priority="426" operator="lessThanOrEqual">
      <formula>H23</formula>
    </cfRule>
    <cfRule type="expression" dxfId="3" priority="427">
      <formula>AND(G23&lt;50,AC23&lt;50)</formula>
    </cfRule>
  </conditionalFormatting>
  <conditionalFormatting sqref="AD24">
    <cfRule type="cellIs" dxfId="2" priority="434" operator="lessThanOrEqual">
      <formula>H24</formula>
    </cfRule>
    <cfRule type="expression" dxfId="3" priority="435">
      <formula>AND(G24&lt;50,AC24&lt;50)</formula>
    </cfRule>
  </conditionalFormatting>
  <conditionalFormatting sqref="AD25">
    <cfRule type="cellIs" dxfId="2" priority="442" operator="lessThanOrEqual">
      <formula>H25</formula>
    </cfRule>
    <cfRule type="expression" dxfId="3" priority="443">
      <formula>AND(G25&lt;50,AC25&lt;50)</formula>
    </cfRule>
  </conditionalFormatting>
  <conditionalFormatting sqref="AD26">
    <cfRule type="cellIs" dxfId="2" priority="450" operator="lessThanOrEqual">
      <formula>H26</formula>
    </cfRule>
    <cfRule type="expression" dxfId="3" priority="451">
      <formula>AND(G26&lt;50,AC26&lt;50)</formula>
    </cfRule>
  </conditionalFormatting>
  <conditionalFormatting sqref="AD27">
    <cfRule type="cellIs" dxfId="2" priority="458" operator="lessThanOrEqual">
      <formula>H27</formula>
    </cfRule>
    <cfRule type="expression" dxfId="3" priority="459">
      <formula>AND(G27&lt;50,AC27&lt;50)</formula>
    </cfRule>
  </conditionalFormatting>
  <conditionalFormatting sqref="AD28">
    <cfRule type="cellIs" dxfId="2" priority="466" operator="lessThanOrEqual">
      <formula>H28</formula>
    </cfRule>
    <cfRule type="expression" dxfId="3" priority="467">
      <formula>AND(G28&lt;50,AC28&lt;50)</formula>
    </cfRule>
  </conditionalFormatting>
  <conditionalFormatting sqref="AD32">
    <cfRule type="cellIs" dxfId="2" priority="474" operator="lessThanOrEqual">
      <formula>H32</formula>
    </cfRule>
    <cfRule type="expression" dxfId="3" priority="475">
      <formula>AND(G32&lt;50,AC32&lt;50)</formula>
    </cfRule>
  </conditionalFormatting>
  <conditionalFormatting sqref="AE10">
    <cfRule type="expression" dxfId="3" priority="407">
      <formula>AND(G10&lt;20,AC10&lt;20)</formula>
    </cfRule>
  </conditionalFormatting>
  <conditionalFormatting sqref="AE22">
    <cfRule type="expression" dxfId="3" priority="420">
      <formula>AND(G22&lt;50,AC22&lt;50)</formula>
    </cfRule>
  </conditionalFormatting>
  <conditionalFormatting sqref="AE23">
    <cfRule type="expression" dxfId="3" priority="428">
      <formula>AND(G23&lt;50,AC23&lt;50)</formula>
    </cfRule>
  </conditionalFormatting>
  <conditionalFormatting sqref="AE24">
    <cfRule type="expression" dxfId="3" priority="436">
      <formula>AND(G24&lt;50,AC24&lt;50)</formula>
    </cfRule>
  </conditionalFormatting>
  <conditionalFormatting sqref="AE25">
    <cfRule type="expression" dxfId="3" priority="444">
      <formula>AND(G25&lt;50,AC25&lt;50)</formula>
    </cfRule>
  </conditionalFormatting>
  <conditionalFormatting sqref="AE26">
    <cfRule type="expression" dxfId="3" priority="452">
      <formula>AND(G26&lt;50,AC26&lt;50)</formula>
    </cfRule>
  </conditionalFormatting>
  <conditionalFormatting sqref="AE27">
    <cfRule type="expression" dxfId="3" priority="460">
      <formula>AND(G27&lt;50,AC27&lt;50)</formula>
    </cfRule>
  </conditionalFormatting>
  <conditionalFormatting sqref="AE28">
    <cfRule type="expression" dxfId="3" priority="468">
      <formula>AND(G28&lt;50,AC28&lt;50)</formula>
    </cfRule>
  </conditionalFormatting>
  <conditionalFormatting sqref="AE32">
    <cfRule type="expression" dxfId="3" priority="476">
      <formula>AND(G32&lt;50,AC32&lt;50)</formula>
    </cfRule>
  </conditionalFormatting>
  <conditionalFormatting sqref="AF10">
    <cfRule type="cellIs" dxfId="2" priority="404" operator="lessThanOrEqual">
      <formula>I10</formula>
    </cfRule>
    <cfRule type="expression" dxfId="3" priority="408">
      <formula>AND(G10&lt;20,AC10&lt;20)</formula>
    </cfRule>
  </conditionalFormatting>
  <conditionalFormatting sqref="AF21">
    <cfRule type="cellIs" dxfId="2" priority="412" operator="lessThanOrEqual">
      <formula>I21</formula>
    </cfRule>
  </conditionalFormatting>
  <conditionalFormatting sqref="AF22">
    <cfRule type="cellIs" dxfId="2" priority="417" operator="lessThanOrEqual">
      <formula>I22</formula>
    </cfRule>
    <cfRule type="expression" dxfId="3" priority="421">
      <formula>AND(G22&lt;50,AC22&lt;50)</formula>
    </cfRule>
  </conditionalFormatting>
  <conditionalFormatting sqref="AF23">
    <cfRule type="cellIs" dxfId="2" priority="425" operator="lessThanOrEqual">
      <formula>I23</formula>
    </cfRule>
    <cfRule type="expression" dxfId="3" priority="429">
      <formula>AND(G23&lt;50,AC23&lt;50)</formula>
    </cfRule>
  </conditionalFormatting>
  <conditionalFormatting sqref="AF24">
    <cfRule type="cellIs" dxfId="2" priority="433" operator="lessThanOrEqual">
      <formula>I24</formula>
    </cfRule>
    <cfRule type="expression" dxfId="3" priority="437">
      <formula>AND(G24&lt;50,AC24&lt;50)</formula>
    </cfRule>
  </conditionalFormatting>
  <conditionalFormatting sqref="AF25">
    <cfRule type="cellIs" dxfId="2" priority="441" operator="lessThanOrEqual">
      <formula>I25</formula>
    </cfRule>
    <cfRule type="expression" dxfId="3" priority="445">
      <formula>AND(G25&lt;50,AC25&lt;50)</formula>
    </cfRule>
  </conditionalFormatting>
  <conditionalFormatting sqref="AF26">
    <cfRule type="cellIs" dxfId="2" priority="449" operator="lessThanOrEqual">
      <formula>I26</formula>
    </cfRule>
    <cfRule type="expression" dxfId="3" priority="453">
      <formula>AND(G26&lt;50,AC26&lt;50)</formula>
    </cfRule>
  </conditionalFormatting>
  <conditionalFormatting sqref="AF27">
    <cfRule type="cellIs" dxfId="2" priority="457" operator="lessThanOrEqual">
      <formula>I27</formula>
    </cfRule>
    <cfRule type="expression" dxfId="3" priority="461">
      <formula>AND(G27&lt;50,AC27&lt;50)</formula>
    </cfRule>
  </conditionalFormatting>
  <conditionalFormatting sqref="AF28">
    <cfRule type="cellIs" dxfId="2" priority="465" operator="lessThanOrEqual">
      <formula>I28</formula>
    </cfRule>
    <cfRule type="expression" dxfId="3" priority="469">
      <formula>AND(G28&lt;50,AC28&lt;50)</formula>
    </cfRule>
  </conditionalFormatting>
  <conditionalFormatting sqref="AF32">
    <cfRule type="cellIs" dxfId="2" priority="473" operator="lessThanOrEqual">
      <formula>I32</formula>
    </cfRule>
    <cfRule type="expression" dxfId="3" priority="477">
      <formula>AND(G32&lt;50,AC32&lt;50)</formula>
    </cfRule>
  </conditionalFormatting>
  <conditionalFormatting sqref="AH10">
    <cfRule type="cellIs" dxfId="0" priority="486" operator="lessThan">
      <formula>G10</formula>
    </cfRule>
  </conditionalFormatting>
  <conditionalFormatting sqref="AH11">
    <cfRule type="cellIs" dxfId="0" priority="490" operator="lessThan">
      <formula>G11</formula>
    </cfRule>
  </conditionalFormatting>
  <conditionalFormatting sqref="AH12">
    <cfRule type="cellIs" dxfId="0" priority="494" operator="lessThan">
      <formula>G12</formula>
    </cfRule>
  </conditionalFormatting>
  <conditionalFormatting sqref="AH13">
    <cfRule type="cellIs" dxfId="0" priority="498" operator="lessThan">
      <formula>G13</formula>
    </cfRule>
  </conditionalFormatting>
  <conditionalFormatting sqref="AH14">
    <cfRule type="cellIs" dxfId="0" priority="502" operator="lessThan">
      <formula>G14</formula>
    </cfRule>
  </conditionalFormatting>
  <conditionalFormatting sqref="AH15">
    <cfRule type="cellIs" dxfId="0" priority="506" operator="lessThan">
      <formula>G15</formula>
    </cfRule>
  </conditionalFormatting>
  <conditionalFormatting sqref="AH16">
    <cfRule type="cellIs" dxfId="0" priority="510" operator="lessThan">
      <formula>G16</formula>
    </cfRule>
  </conditionalFormatting>
  <conditionalFormatting sqref="AH17">
    <cfRule type="cellIs" dxfId="0" priority="514" operator="lessThan">
      <formula>G17</formula>
    </cfRule>
  </conditionalFormatting>
  <conditionalFormatting sqref="AH18">
    <cfRule type="cellIs" dxfId="0" priority="518" operator="lessThan">
      <formula>G18</formula>
    </cfRule>
  </conditionalFormatting>
  <conditionalFormatting sqref="AH20">
    <cfRule type="cellIs" dxfId="0" priority="522" operator="lessThan">
      <formula>G20</formula>
    </cfRule>
  </conditionalFormatting>
  <conditionalFormatting sqref="AH21">
    <cfRule type="cellIs" dxfId="0" priority="526" operator="lessThan">
      <formula>G21</formula>
    </cfRule>
  </conditionalFormatting>
  <conditionalFormatting sqref="AH22">
    <cfRule type="cellIs" dxfId="0" priority="530" operator="lessThan">
      <formula>G22</formula>
    </cfRule>
  </conditionalFormatting>
  <conditionalFormatting sqref="AH23">
    <cfRule type="cellIs" dxfId="0" priority="534" operator="lessThan">
      <formula>G23</formula>
    </cfRule>
  </conditionalFormatting>
  <conditionalFormatting sqref="AH24">
    <cfRule type="cellIs" dxfId="0" priority="538" operator="lessThan">
      <formula>G24</formula>
    </cfRule>
  </conditionalFormatting>
  <conditionalFormatting sqref="AH25">
    <cfRule type="cellIs" dxfId="0" priority="542" operator="lessThan">
      <formula>G25</formula>
    </cfRule>
  </conditionalFormatting>
  <conditionalFormatting sqref="AH26">
    <cfRule type="cellIs" dxfId="0" priority="546" operator="lessThan">
      <formula>G26</formula>
    </cfRule>
  </conditionalFormatting>
  <conditionalFormatting sqref="AH27">
    <cfRule type="cellIs" dxfId="0" priority="550" operator="lessThan">
      <formula>G27</formula>
    </cfRule>
  </conditionalFormatting>
  <conditionalFormatting sqref="AH28">
    <cfRule type="cellIs" dxfId="0" priority="554" operator="lessThan">
      <formula>G28</formula>
    </cfRule>
  </conditionalFormatting>
  <conditionalFormatting sqref="AH29">
    <cfRule type="cellIs" dxfId="0" priority="558" operator="lessThan">
      <formula>G29</formula>
    </cfRule>
  </conditionalFormatting>
  <conditionalFormatting sqref="AH30">
    <cfRule type="cellIs" dxfId="0" priority="562" operator="lessThan">
      <formula>G30</formula>
    </cfRule>
  </conditionalFormatting>
  <conditionalFormatting sqref="AH31">
    <cfRule type="cellIs" dxfId="0" priority="566" operator="lessThan">
      <formula>G31</formula>
    </cfRule>
  </conditionalFormatting>
  <conditionalFormatting sqref="AH32">
    <cfRule type="cellIs" dxfId="0" priority="570" operator="lessThan">
      <formula>G32</formula>
    </cfRule>
  </conditionalFormatting>
  <conditionalFormatting sqref="AH33">
    <cfRule type="cellIs" dxfId="0" priority="574" operator="lessThan">
      <formula>G33</formula>
    </cfRule>
  </conditionalFormatting>
  <conditionalFormatting sqref="AH7">
    <cfRule type="cellIs" dxfId="0" priority="478" operator="lessThan">
      <formula>G7</formula>
    </cfRule>
  </conditionalFormatting>
  <conditionalFormatting sqref="AH8">
    <cfRule type="cellIs" dxfId="0" priority="482" operator="lessThan">
      <formula>G8</formula>
    </cfRule>
  </conditionalFormatting>
  <conditionalFormatting sqref="AI10">
    <cfRule type="expression" dxfId="1" priority="487">
      <formula>AND(NOT(ISBLANK(AI10)),OR(AH10="NonStk",AI10&gt;AH10))</formula>
    </cfRule>
  </conditionalFormatting>
  <conditionalFormatting sqref="AI11">
    <cfRule type="expression" dxfId="1" priority="491">
      <formula>AND(NOT(ISBLANK(AI11)),OR(AH11="NonStk",AI11&gt;AH11))</formula>
    </cfRule>
  </conditionalFormatting>
  <conditionalFormatting sqref="AI12">
    <cfRule type="expression" dxfId="1" priority="495">
      <formula>AND(NOT(ISBLANK(AI12)),OR(AH12="NonStk",AI12&gt;AH12))</formula>
    </cfRule>
  </conditionalFormatting>
  <conditionalFormatting sqref="AI13">
    <cfRule type="expression" dxfId="1" priority="499">
      <formula>AND(NOT(ISBLANK(AI13)),OR(AH13="NonStk",AI13&gt;AH13))</formula>
    </cfRule>
  </conditionalFormatting>
  <conditionalFormatting sqref="AI14">
    <cfRule type="expression" dxfId="1" priority="503">
      <formula>AND(NOT(ISBLANK(AI14)),OR(AH14="NonStk",AI14&gt;AH14))</formula>
    </cfRule>
  </conditionalFormatting>
  <conditionalFormatting sqref="AI15">
    <cfRule type="expression" dxfId="1" priority="507">
      <formula>AND(NOT(ISBLANK(AI15)),OR(AH15="NonStk",AI15&gt;AH15))</formula>
    </cfRule>
  </conditionalFormatting>
  <conditionalFormatting sqref="AI16">
    <cfRule type="expression" dxfId="1" priority="511">
      <formula>AND(NOT(ISBLANK(AI16)),OR(AH16="NonStk",AI16&gt;AH16))</formula>
    </cfRule>
  </conditionalFormatting>
  <conditionalFormatting sqref="AI17">
    <cfRule type="expression" dxfId="1" priority="515">
      <formula>AND(NOT(ISBLANK(AI17)),OR(AH17="NonStk",AI17&gt;AH17))</formula>
    </cfRule>
  </conditionalFormatting>
  <conditionalFormatting sqref="AI18">
    <cfRule type="expression" dxfId="1" priority="519">
      <formula>AND(NOT(ISBLANK(AI18)),OR(AH18="NonStk",AI18&gt;AH18))</formula>
    </cfRule>
  </conditionalFormatting>
  <conditionalFormatting sqref="AI20">
    <cfRule type="expression" dxfId="1" priority="523">
      <formula>AND(NOT(ISBLANK(AI20)),OR(AH20="NonStk",AI20&gt;AH20))</formula>
    </cfRule>
  </conditionalFormatting>
  <conditionalFormatting sqref="AI21">
    <cfRule type="expression" dxfId="1" priority="527">
      <formula>AND(NOT(ISBLANK(AI21)),OR(AH21="NonStk",AI21&gt;AH21))</formula>
    </cfRule>
  </conditionalFormatting>
  <conditionalFormatting sqref="AI22">
    <cfRule type="expression" dxfId="1" priority="531">
      <formula>AND(NOT(ISBLANK(AI22)),OR(AH22="NonStk",AI22&gt;AH22))</formula>
    </cfRule>
  </conditionalFormatting>
  <conditionalFormatting sqref="AI23">
    <cfRule type="expression" dxfId="1" priority="535">
      <formula>AND(NOT(ISBLANK(AI23)),OR(AH23="NonStk",AI23&gt;AH23))</formula>
    </cfRule>
  </conditionalFormatting>
  <conditionalFormatting sqref="AI24">
    <cfRule type="expression" dxfId="1" priority="539">
      <formula>AND(NOT(ISBLANK(AI24)),OR(AH24="NonStk",AI24&gt;AH24))</formula>
    </cfRule>
  </conditionalFormatting>
  <conditionalFormatting sqref="AI25">
    <cfRule type="expression" dxfId="1" priority="543">
      <formula>AND(NOT(ISBLANK(AI25)),OR(AH25="NonStk",AI25&gt;AH25))</formula>
    </cfRule>
  </conditionalFormatting>
  <conditionalFormatting sqref="AI26">
    <cfRule type="expression" dxfId="1" priority="547">
      <formula>AND(NOT(ISBLANK(AI26)),OR(AH26="NonStk",AI26&gt;AH26))</formula>
    </cfRule>
  </conditionalFormatting>
  <conditionalFormatting sqref="AI27">
    <cfRule type="expression" dxfId="1" priority="551">
      <formula>AND(NOT(ISBLANK(AI27)),OR(AH27="NonStk",AI27&gt;AH27))</formula>
    </cfRule>
  </conditionalFormatting>
  <conditionalFormatting sqref="AI28">
    <cfRule type="expression" dxfId="1" priority="555">
      <formula>AND(NOT(ISBLANK(AI28)),OR(AH28="NonStk",AI28&gt;AH28))</formula>
    </cfRule>
  </conditionalFormatting>
  <conditionalFormatting sqref="AI29">
    <cfRule type="expression" dxfId="1" priority="559">
      <formula>AND(NOT(ISBLANK(AI29)),OR(AH29="NonStk",AI29&gt;AH29))</formula>
    </cfRule>
  </conditionalFormatting>
  <conditionalFormatting sqref="AI30">
    <cfRule type="expression" dxfId="1" priority="563">
      <formula>AND(NOT(ISBLANK(AI30)),OR(AH30="NonStk",AI30&gt;AH30))</formula>
    </cfRule>
  </conditionalFormatting>
  <conditionalFormatting sqref="AI31">
    <cfRule type="expression" dxfId="1" priority="567">
      <formula>AND(NOT(ISBLANK(AI31)),OR(AH31="NonStk",AI31&gt;AH31))</formula>
    </cfRule>
  </conditionalFormatting>
  <conditionalFormatting sqref="AI32">
    <cfRule type="expression" dxfId="1" priority="571">
      <formula>AND(NOT(ISBLANK(AI32)),OR(AH32="NonStk",AI32&gt;AH32))</formula>
    </cfRule>
  </conditionalFormatting>
  <conditionalFormatting sqref="AI33">
    <cfRule type="expression" dxfId="1" priority="575">
      <formula>AND(NOT(ISBLANK(AI33)),OR(AH33="NonStk",AI33&gt;AH33))</formula>
    </cfRule>
  </conditionalFormatting>
  <conditionalFormatting sqref="AI7">
    <cfRule type="expression" dxfId="1" priority="479">
      <formula>AND(NOT(ISBLANK(AI7)),OR(AH7="NonStk",AI7&gt;AH7))</formula>
    </cfRule>
  </conditionalFormatting>
  <conditionalFormatting sqref="AI8">
    <cfRule type="expression" dxfId="1" priority="483">
      <formula>AND(NOT(ISBLANK(AI8)),OR(AH8="NonStk",AI8&gt;AH8))</formula>
    </cfRule>
  </conditionalFormatting>
  <conditionalFormatting sqref="AJ10">
    <cfRule type="cellIs" dxfId="2" priority="489" operator="lessThanOrEqual">
      <formula>H10</formula>
    </cfRule>
  </conditionalFormatting>
  <conditionalFormatting sqref="AJ11">
    <cfRule type="cellIs" dxfId="2" priority="493" operator="lessThanOrEqual">
      <formula>H11</formula>
    </cfRule>
  </conditionalFormatting>
  <conditionalFormatting sqref="AJ12">
    <cfRule type="cellIs" dxfId="2" priority="497" operator="lessThanOrEqual">
      <formula>H12</formula>
    </cfRule>
  </conditionalFormatting>
  <conditionalFormatting sqref="AJ13">
    <cfRule type="cellIs" dxfId="2" priority="501" operator="lessThanOrEqual">
      <formula>H13</formula>
    </cfRule>
  </conditionalFormatting>
  <conditionalFormatting sqref="AJ14">
    <cfRule type="cellIs" dxfId="2" priority="505" operator="lessThanOrEqual">
      <formula>H14</formula>
    </cfRule>
  </conditionalFormatting>
  <conditionalFormatting sqref="AJ15">
    <cfRule type="cellIs" dxfId="2" priority="509" operator="lessThanOrEqual">
      <formula>H15</formula>
    </cfRule>
  </conditionalFormatting>
  <conditionalFormatting sqref="AJ16">
    <cfRule type="cellIs" dxfId="2" priority="513" operator="lessThanOrEqual">
      <formula>H16</formula>
    </cfRule>
  </conditionalFormatting>
  <conditionalFormatting sqref="AJ17">
    <cfRule type="cellIs" dxfId="2" priority="517" operator="lessThanOrEqual">
      <formula>H17</formula>
    </cfRule>
  </conditionalFormatting>
  <conditionalFormatting sqref="AJ18">
    <cfRule type="cellIs" dxfId="2" priority="521" operator="lessThanOrEqual">
      <formula>H18</formula>
    </cfRule>
  </conditionalFormatting>
  <conditionalFormatting sqref="AJ20">
    <cfRule type="cellIs" dxfId="2" priority="525" operator="lessThanOrEqual">
      <formula>H20</formula>
    </cfRule>
  </conditionalFormatting>
  <conditionalFormatting sqref="AJ21">
    <cfRule type="cellIs" dxfId="2" priority="529" operator="lessThanOrEqual">
      <formula>H21</formula>
    </cfRule>
  </conditionalFormatting>
  <conditionalFormatting sqref="AJ22">
    <cfRule type="cellIs" dxfId="2" priority="533" operator="lessThanOrEqual">
      <formula>H22</formula>
    </cfRule>
  </conditionalFormatting>
  <conditionalFormatting sqref="AJ23">
    <cfRule type="cellIs" dxfId="2" priority="537" operator="lessThanOrEqual">
      <formula>H23</formula>
    </cfRule>
  </conditionalFormatting>
  <conditionalFormatting sqref="AJ24">
    <cfRule type="cellIs" dxfId="2" priority="541" operator="lessThanOrEqual">
      <formula>H24</formula>
    </cfRule>
  </conditionalFormatting>
  <conditionalFormatting sqref="AJ25">
    <cfRule type="cellIs" dxfId="2" priority="545" operator="lessThanOrEqual">
      <formula>H25</formula>
    </cfRule>
  </conditionalFormatting>
  <conditionalFormatting sqref="AJ26">
    <cfRule type="cellIs" dxfId="2" priority="549" operator="lessThanOrEqual">
      <formula>H26</formula>
    </cfRule>
  </conditionalFormatting>
  <conditionalFormatting sqref="AJ27">
    <cfRule type="cellIs" dxfId="2" priority="553" operator="lessThanOrEqual">
      <formula>H27</formula>
    </cfRule>
  </conditionalFormatting>
  <conditionalFormatting sqref="AJ28">
    <cfRule type="cellIs" dxfId="2" priority="557" operator="lessThanOrEqual">
      <formula>H28</formula>
    </cfRule>
  </conditionalFormatting>
  <conditionalFormatting sqref="AJ29">
    <cfRule type="cellIs" dxfId="2" priority="561" operator="lessThanOrEqual">
      <formula>H29</formula>
    </cfRule>
  </conditionalFormatting>
  <conditionalFormatting sqref="AJ30">
    <cfRule type="cellIs" dxfId="2" priority="565" operator="lessThanOrEqual">
      <formula>H30</formula>
    </cfRule>
  </conditionalFormatting>
  <conditionalFormatting sqref="AJ31">
    <cfRule type="cellIs" dxfId="2" priority="569" operator="lessThanOrEqual">
      <formula>H31</formula>
    </cfRule>
  </conditionalFormatting>
  <conditionalFormatting sqref="AJ32">
    <cfRule type="cellIs" dxfId="2" priority="573" operator="lessThanOrEqual">
      <formula>H32</formula>
    </cfRule>
  </conditionalFormatting>
  <conditionalFormatting sqref="AJ33">
    <cfRule type="cellIs" dxfId="2" priority="577" operator="lessThanOrEqual">
      <formula>H33</formula>
    </cfRule>
  </conditionalFormatting>
  <conditionalFormatting sqref="AJ7">
    <cfRule type="cellIs" dxfId="2" priority="481" operator="lessThanOrEqual">
      <formula>H7</formula>
    </cfRule>
  </conditionalFormatting>
  <conditionalFormatting sqref="AJ8">
    <cfRule type="cellIs" dxfId="2" priority="485" operator="lessThanOrEqual">
      <formula>H8</formula>
    </cfRule>
  </conditionalFormatting>
  <conditionalFormatting sqref="AL10">
    <cfRule type="cellIs" dxfId="2" priority="488" operator="lessThanOrEqual">
      <formula>I10</formula>
    </cfRule>
  </conditionalFormatting>
  <conditionalFormatting sqref="AL11">
    <cfRule type="cellIs" dxfId="2" priority="492" operator="lessThanOrEqual">
      <formula>I11</formula>
    </cfRule>
  </conditionalFormatting>
  <conditionalFormatting sqref="AL12">
    <cfRule type="cellIs" dxfId="2" priority="496" operator="lessThanOrEqual">
      <formula>I12</formula>
    </cfRule>
  </conditionalFormatting>
  <conditionalFormatting sqref="AL13">
    <cfRule type="cellIs" dxfId="2" priority="500" operator="lessThanOrEqual">
      <formula>I13</formula>
    </cfRule>
  </conditionalFormatting>
  <conditionalFormatting sqref="AL14">
    <cfRule type="cellIs" dxfId="2" priority="504" operator="lessThanOrEqual">
      <formula>I14</formula>
    </cfRule>
  </conditionalFormatting>
  <conditionalFormatting sqref="AL15">
    <cfRule type="cellIs" dxfId="2" priority="508" operator="lessThanOrEqual">
      <formula>I15</formula>
    </cfRule>
  </conditionalFormatting>
  <conditionalFormatting sqref="AL16">
    <cfRule type="cellIs" dxfId="2" priority="512" operator="lessThanOrEqual">
      <formula>I16</formula>
    </cfRule>
  </conditionalFormatting>
  <conditionalFormatting sqref="AL17">
    <cfRule type="cellIs" dxfId="2" priority="516" operator="lessThanOrEqual">
      <formula>I17</formula>
    </cfRule>
  </conditionalFormatting>
  <conditionalFormatting sqref="AL18">
    <cfRule type="cellIs" dxfId="2" priority="520" operator="lessThanOrEqual">
      <formula>I18</formula>
    </cfRule>
  </conditionalFormatting>
  <conditionalFormatting sqref="AL20">
    <cfRule type="cellIs" dxfId="2" priority="524" operator="lessThanOrEqual">
      <formula>I20</formula>
    </cfRule>
  </conditionalFormatting>
  <conditionalFormatting sqref="AL21">
    <cfRule type="cellIs" dxfId="2" priority="528" operator="lessThanOrEqual">
      <formula>I21</formula>
    </cfRule>
  </conditionalFormatting>
  <conditionalFormatting sqref="AL22">
    <cfRule type="cellIs" dxfId="2" priority="532" operator="lessThanOrEqual">
      <formula>I22</formula>
    </cfRule>
  </conditionalFormatting>
  <conditionalFormatting sqref="AL23">
    <cfRule type="cellIs" dxfId="2" priority="536" operator="lessThanOrEqual">
      <formula>I23</formula>
    </cfRule>
  </conditionalFormatting>
  <conditionalFormatting sqref="AL24">
    <cfRule type="cellIs" dxfId="2" priority="540" operator="lessThanOrEqual">
      <formula>I24</formula>
    </cfRule>
  </conditionalFormatting>
  <conditionalFormatting sqref="AL25">
    <cfRule type="cellIs" dxfId="2" priority="544" operator="lessThanOrEqual">
      <formula>I25</formula>
    </cfRule>
  </conditionalFormatting>
  <conditionalFormatting sqref="AL26">
    <cfRule type="cellIs" dxfId="2" priority="548" operator="lessThanOrEqual">
      <formula>I26</formula>
    </cfRule>
  </conditionalFormatting>
  <conditionalFormatting sqref="AL27">
    <cfRule type="cellIs" dxfId="2" priority="552" operator="lessThanOrEqual">
      <formula>I27</formula>
    </cfRule>
  </conditionalFormatting>
  <conditionalFormatting sqref="AL28">
    <cfRule type="cellIs" dxfId="2" priority="556" operator="lessThanOrEqual">
      <formula>I28</formula>
    </cfRule>
  </conditionalFormatting>
  <conditionalFormatting sqref="AL29">
    <cfRule type="cellIs" dxfId="2" priority="560" operator="lessThanOrEqual">
      <formula>I29</formula>
    </cfRule>
  </conditionalFormatting>
  <conditionalFormatting sqref="AL30">
    <cfRule type="cellIs" dxfId="2" priority="564" operator="lessThanOrEqual">
      <formula>I30</formula>
    </cfRule>
  </conditionalFormatting>
  <conditionalFormatting sqref="AL31">
    <cfRule type="cellIs" dxfId="2" priority="568" operator="lessThanOrEqual">
      <formula>I31</formula>
    </cfRule>
  </conditionalFormatting>
  <conditionalFormatting sqref="AL32">
    <cfRule type="cellIs" dxfId="2" priority="572" operator="lessThanOrEqual">
      <formula>I32</formula>
    </cfRule>
  </conditionalFormatting>
  <conditionalFormatting sqref="AL33">
    <cfRule type="cellIs" dxfId="2" priority="576" operator="lessThanOrEqual">
      <formula>I33</formula>
    </cfRule>
  </conditionalFormatting>
  <conditionalFormatting sqref="AL7">
    <cfRule type="cellIs" dxfId="2" priority="480" operator="lessThanOrEqual">
      <formula>I7</formula>
    </cfRule>
  </conditionalFormatting>
  <conditionalFormatting sqref="AL8">
    <cfRule type="cellIs" dxfId="2" priority="484" operator="lessThanOrEqual">
      <formula>I8</formula>
    </cfRule>
  </conditionalFormatting>
  <conditionalFormatting sqref="AN10">
    <cfRule type="cellIs" dxfId="0" priority="582" operator="lessThan">
      <formula>G10</formula>
    </cfRule>
  </conditionalFormatting>
  <conditionalFormatting sqref="AN11">
    <cfRule type="cellIs" dxfId="0" priority="586" operator="lessThan">
      <formula>G11</formula>
    </cfRule>
  </conditionalFormatting>
  <conditionalFormatting sqref="AN12">
    <cfRule type="cellIs" dxfId="0" priority="590" operator="lessThan">
      <formula>G12</formula>
    </cfRule>
  </conditionalFormatting>
  <conditionalFormatting sqref="AN13">
    <cfRule type="cellIs" dxfId="0" priority="594" operator="lessThan">
      <formula>G13</formula>
    </cfRule>
  </conditionalFormatting>
  <conditionalFormatting sqref="AN14">
    <cfRule type="cellIs" dxfId="0" priority="598" operator="lessThan">
      <formula>G14</formula>
    </cfRule>
  </conditionalFormatting>
  <conditionalFormatting sqref="AN15">
    <cfRule type="cellIs" dxfId="0" priority="602" operator="lessThan">
      <formula>G15</formula>
    </cfRule>
  </conditionalFormatting>
  <conditionalFormatting sqref="AN16">
    <cfRule type="cellIs" dxfId="0" priority="606" operator="lessThan">
      <formula>G16</formula>
    </cfRule>
  </conditionalFormatting>
  <conditionalFormatting sqref="AN17">
    <cfRule type="cellIs" dxfId="0" priority="610" operator="lessThan">
      <formula>G17</formula>
    </cfRule>
  </conditionalFormatting>
  <conditionalFormatting sqref="AN18">
    <cfRule type="cellIs" dxfId="0" priority="614" operator="lessThan">
      <formula>G18</formula>
    </cfRule>
  </conditionalFormatting>
  <conditionalFormatting sqref="AN20">
    <cfRule type="cellIs" dxfId="0" priority="618" operator="lessThan">
      <formula>G20</formula>
    </cfRule>
  </conditionalFormatting>
  <conditionalFormatting sqref="AN21">
    <cfRule type="cellIs" dxfId="0" priority="622" operator="lessThan">
      <formula>G21</formula>
    </cfRule>
  </conditionalFormatting>
  <conditionalFormatting sqref="AN22">
    <cfRule type="cellIs" dxfId="0" priority="626" operator="lessThan">
      <formula>G22</formula>
    </cfRule>
  </conditionalFormatting>
  <conditionalFormatting sqref="AN23">
    <cfRule type="cellIs" dxfId="0" priority="630" operator="lessThan">
      <formula>G23</formula>
    </cfRule>
  </conditionalFormatting>
  <conditionalFormatting sqref="AN24">
    <cfRule type="cellIs" dxfId="0" priority="634" operator="lessThan">
      <formula>G24</formula>
    </cfRule>
  </conditionalFormatting>
  <conditionalFormatting sqref="AN25">
    <cfRule type="cellIs" dxfId="0" priority="638" operator="lessThan">
      <formula>G25</formula>
    </cfRule>
  </conditionalFormatting>
  <conditionalFormatting sqref="AN26">
    <cfRule type="cellIs" dxfId="0" priority="642" operator="lessThan">
      <formula>G26</formula>
    </cfRule>
  </conditionalFormatting>
  <conditionalFormatting sqref="AN27">
    <cfRule type="cellIs" dxfId="0" priority="646" operator="lessThan">
      <formula>G27</formula>
    </cfRule>
  </conditionalFormatting>
  <conditionalFormatting sqref="AN28">
    <cfRule type="cellIs" dxfId="0" priority="650" operator="lessThan">
      <formula>G28</formula>
    </cfRule>
  </conditionalFormatting>
  <conditionalFormatting sqref="AN29">
    <cfRule type="cellIs" dxfId="0" priority="654" operator="lessThan">
      <formula>G29</formula>
    </cfRule>
  </conditionalFormatting>
  <conditionalFormatting sqref="AN30">
    <cfRule type="cellIs" dxfId="0" priority="658" operator="lessThan">
      <formula>G30</formula>
    </cfRule>
  </conditionalFormatting>
  <conditionalFormatting sqref="AN31">
    <cfRule type="cellIs" dxfId="0" priority="662" operator="lessThan">
      <formula>G31</formula>
    </cfRule>
  </conditionalFormatting>
  <conditionalFormatting sqref="AN32">
    <cfRule type="cellIs" dxfId="0" priority="666" operator="lessThan">
      <formula>G32</formula>
    </cfRule>
  </conditionalFormatting>
  <conditionalFormatting sqref="AN33">
    <cfRule type="cellIs" dxfId="0" priority="670" operator="lessThan">
      <formula>G33</formula>
    </cfRule>
  </conditionalFormatting>
  <conditionalFormatting sqref="AN8">
    <cfRule type="cellIs" dxfId="0" priority="578" operator="lessThan">
      <formula>G8</formula>
    </cfRule>
  </conditionalFormatting>
  <conditionalFormatting sqref="AO10">
    <cfRule type="expression" dxfId="1" priority="583">
      <formula>AND(NOT(ISBLANK(AO10)),OR(AN10="NonStk",AO10&gt;AN10))</formula>
    </cfRule>
  </conditionalFormatting>
  <conditionalFormatting sqref="AO11">
    <cfRule type="expression" dxfId="1" priority="587">
      <formula>AND(NOT(ISBLANK(AO11)),OR(AN11="NonStk",AO11&gt;AN11))</formula>
    </cfRule>
  </conditionalFormatting>
  <conditionalFormatting sqref="AO12">
    <cfRule type="expression" dxfId="1" priority="591">
      <formula>AND(NOT(ISBLANK(AO12)),OR(AN12="NonStk",AO12&gt;AN12))</formula>
    </cfRule>
  </conditionalFormatting>
  <conditionalFormatting sqref="AO13">
    <cfRule type="expression" dxfId="1" priority="595">
      <formula>AND(NOT(ISBLANK(AO13)),OR(AN13="NonStk",AO13&gt;AN13))</formula>
    </cfRule>
  </conditionalFormatting>
  <conditionalFormatting sqref="AO14">
    <cfRule type="expression" dxfId="1" priority="599">
      <formula>AND(NOT(ISBLANK(AO14)),OR(AN14="NonStk",AO14&gt;AN14))</formula>
    </cfRule>
  </conditionalFormatting>
  <conditionalFormatting sqref="AO15">
    <cfRule type="expression" dxfId="1" priority="603">
      <formula>AND(NOT(ISBLANK(AO15)),OR(AN15="NonStk",AO15&gt;AN15))</formula>
    </cfRule>
  </conditionalFormatting>
  <conditionalFormatting sqref="AO16">
    <cfRule type="expression" dxfId="1" priority="607">
      <formula>AND(NOT(ISBLANK(AO16)),OR(AN16="NonStk",AO16&gt;AN16))</formula>
    </cfRule>
  </conditionalFormatting>
  <conditionalFormatting sqref="AO17">
    <cfRule type="expression" dxfId="1" priority="611">
      <formula>AND(NOT(ISBLANK(AO17)),OR(AN17="NonStk",AO17&gt;AN17))</formula>
    </cfRule>
  </conditionalFormatting>
  <conditionalFormatting sqref="AO18">
    <cfRule type="expression" dxfId="1" priority="615">
      <formula>AND(NOT(ISBLANK(AO18)),OR(AN18="NonStk",AO18&gt;AN18))</formula>
    </cfRule>
  </conditionalFormatting>
  <conditionalFormatting sqref="AO20">
    <cfRule type="expression" dxfId="1" priority="619">
      <formula>AND(NOT(ISBLANK(AO20)),OR(AN20="NonStk",AO20&gt;AN20))</formula>
    </cfRule>
  </conditionalFormatting>
  <conditionalFormatting sqref="AO21">
    <cfRule type="expression" dxfId="1" priority="623">
      <formula>AND(NOT(ISBLANK(AO21)),OR(AN21="NonStk",AO21&gt;AN21))</formula>
    </cfRule>
  </conditionalFormatting>
  <conditionalFormatting sqref="AO22">
    <cfRule type="expression" dxfId="1" priority="627">
      <formula>AND(NOT(ISBLANK(AO22)),OR(AN22="NonStk",AO22&gt;AN22))</formula>
    </cfRule>
  </conditionalFormatting>
  <conditionalFormatting sqref="AO23">
    <cfRule type="expression" dxfId="1" priority="631">
      <formula>AND(NOT(ISBLANK(AO23)),OR(AN23="NonStk",AO23&gt;AN23))</formula>
    </cfRule>
  </conditionalFormatting>
  <conditionalFormatting sqref="AO24">
    <cfRule type="expression" dxfId="1" priority="635">
      <formula>AND(NOT(ISBLANK(AO24)),OR(AN24="NonStk",AO24&gt;AN24))</formula>
    </cfRule>
  </conditionalFormatting>
  <conditionalFormatting sqref="AO25">
    <cfRule type="expression" dxfId="1" priority="639">
      <formula>AND(NOT(ISBLANK(AO25)),OR(AN25="NonStk",AO25&gt;AN25))</formula>
    </cfRule>
  </conditionalFormatting>
  <conditionalFormatting sqref="AO26">
    <cfRule type="expression" dxfId="1" priority="643">
      <formula>AND(NOT(ISBLANK(AO26)),OR(AN26="NonStk",AO26&gt;AN26))</formula>
    </cfRule>
  </conditionalFormatting>
  <conditionalFormatting sqref="AO27">
    <cfRule type="expression" dxfId="1" priority="647">
      <formula>AND(NOT(ISBLANK(AO27)),OR(AN27="NonStk",AO27&gt;AN27))</formula>
    </cfRule>
  </conditionalFormatting>
  <conditionalFormatting sqref="AO28">
    <cfRule type="expression" dxfId="1" priority="651">
      <formula>AND(NOT(ISBLANK(AO28)),OR(AN28="NonStk",AO28&gt;AN28))</formula>
    </cfRule>
  </conditionalFormatting>
  <conditionalFormatting sqref="AO29">
    <cfRule type="expression" dxfId="1" priority="655">
      <formula>AND(NOT(ISBLANK(AO29)),OR(AN29="NonStk",AO29&gt;AN29))</formula>
    </cfRule>
  </conditionalFormatting>
  <conditionalFormatting sqref="AO30">
    <cfRule type="expression" dxfId="1" priority="659">
      <formula>AND(NOT(ISBLANK(AO30)),OR(AN30="NonStk",AO30&gt;AN30))</formula>
    </cfRule>
  </conditionalFormatting>
  <conditionalFormatting sqref="AO31">
    <cfRule type="expression" dxfId="1" priority="663">
      <formula>AND(NOT(ISBLANK(AO31)),OR(AN31="NonStk",AO31&gt;AN31))</formula>
    </cfRule>
  </conditionalFormatting>
  <conditionalFormatting sqref="AO32">
    <cfRule type="expression" dxfId="1" priority="667">
      <formula>AND(NOT(ISBLANK(AO32)),OR(AN32="NonStk",AO32&gt;AN32))</formula>
    </cfRule>
  </conditionalFormatting>
  <conditionalFormatting sqref="AO33">
    <cfRule type="expression" dxfId="1" priority="671">
      <formula>AND(NOT(ISBLANK(AO33)),OR(AN33="NonStk",AO33&gt;AN33))</formula>
    </cfRule>
  </conditionalFormatting>
  <conditionalFormatting sqref="AO8">
    <cfRule type="expression" dxfId="1" priority="579">
      <formula>AND(NOT(ISBLANK(AO8)),OR(AN8="NonStk",AO8&gt;AN8))</formula>
    </cfRule>
  </conditionalFormatting>
  <conditionalFormatting sqref="AP10">
    <cfRule type="cellIs" dxfId="2" priority="585" operator="lessThanOrEqual">
      <formula>H10</formula>
    </cfRule>
  </conditionalFormatting>
  <conditionalFormatting sqref="AP11">
    <cfRule type="cellIs" dxfId="2" priority="589" operator="lessThanOrEqual">
      <formula>H11</formula>
    </cfRule>
  </conditionalFormatting>
  <conditionalFormatting sqref="AP12">
    <cfRule type="cellIs" dxfId="2" priority="593" operator="lessThanOrEqual">
      <formula>H12</formula>
    </cfRule>
  </conditionalFormatting>
  <conditionalFormatting sqref="AP13">
    <cfRule type="cellIs" dxfId="2" priority="597" operator="lessThanOrEqual">
      <formula>H13</formula>
    </cfRule>
  </conditionalFormatting>
  <conditionalFormatting sqref="AP14">
    <cfRule type="cellIs" dxfId="2" priority="601" operator="lessThanOrEqual">
      <formula>H14</formula>
    </cfRule>
  </conditionalFormatting>
  <conditionalFormatting sqref="AP15">
    <cfRule type="cellIs" dxfId="2" priority="605" operator="lessThanOrEqual">
      <formula>H15</formula>
    </cfRule>
  </conditionalFormatting>
  <conditionalFormatting sqref="AP16">
    <cfRule type="cellIs" dxfId="2" priority="609" operator="lessThanOrEqual">
      <formula>H16</formula>
    </cfRule>
  </conditionalFormatting>
  <conditionalFormatting sqref="AP17">
    <cfRule type="cellIs" dxfId="2" priority="613" operator="lessThanOrEqual">
      <formula>H17</formula>
    </cfRule>
  </conditionalFormatting>
  <conditionalFormatting sqref="AP18">
    <cfRule type="cellIs" dxfId="2" priority="617" operator="lessThanOrEqual">
      <formula>H18</formula>
    </cfRule>
  </conditionalFormatting>
  <conditionalFormatting sqref="AP20">
    <cfRule type="cellIs" dxfId="2" priority="621" operator="lessThanOrEqual">
      <formula>H20</formula>
    </cfRule>
  </conditionalFormatting>
  <conditionalFormatting sqref="AP21">
    <cfRule type="cellIs" dxfId="2" priority="625" operator="lessThanOrEqual">
      <formula>H21</formula>
    </cfRule>
  </conditionalFormatting>
  <conditionalFormatting sqref="AP22">
    <cfRule type="cellIs" dxfId="2" priority="629" operator="lessThanOrEqual">
      <formula>H22</formula>
    </cfRule>
  </conditionalFormatting>
  <conditionalFormatting sqref="AP23">
    <cfRule type="cellIs" dxfId="2" priority="633" operator="lessThanOrEqual">
      <formula>H23</formula>
    </cfRule>
  </conditionalFormatting>
  <conditionalFormatting sqref="AP24">
    <cfRule type="cellIs" dxfId="2" priority="637" operator="lessThanOrEqual">
      <formula>H24</formula>
    </cfRule>
  </conditionalFormatting>
  <conditionalFormatting sqref="AP25">
    <cfRule type="cellIs" dxfId="2" priority="641" operator="lessThanOrEqual">
      <formula>H25</formula>
    </cfRule>
  </conditionalFormatting>
  <conditionalFormatting sqref="AP26">
    <cfRule type="cellIs" dxfId="2" priority="645" operator="lessThanOrEqual">
      <formula>H26</formula>
    </cfRule>
  </conditionalFormatting>
  <conditionalFormatting sqref="AP27">
    <cfRule type="cellIs" dxfId="2" priority="649" operator="lessThanOrEqual">
      <formula>H27</formula>
    </cfRule>
  </conditionalFormatting>
  <conditionalFormatting sqref="AP28">
    <cfRule type="cellIs" dxfId="2" priority="653" operator="lessThanOrEqual">
      <formula>H28</formula>
    </cfRule>
  </conditionalFormatting>
  <conditionalFormatting sqref="AP29">
    <cfRule type="cellIs" dxfId="2" priority="657" operator="lessThanOrEqual">
      <formula>H29</formula>
    </cfRule>
  </conditionalFormatting>
  <conditionalFormatting sqref="AP30">
    <cfRule type="cellIs" dxfId="2" priority="661" operator="lessThanOrEqual">
      <formula>H30</formula>
    </cfRule>
  </conditionalFormatting>
  <conditionalFormatting sqref="AP31">
    <cfRule type="cellIs" dxfId="2" priority="665" operator="lessThanOrEqual">
      <formula>H31</formula>
    </cfRule>
  </conditionalFormatting>
  <conditionalFormatting sqref="AP32">
    <cfRule type="cellIs" dxfId="2" priority="669" operator="lessThanOrEqual">
      <formula>H32</formula>
    </cfRule>
  </conditionalFormatting>
  <conditionalFormatting sqref="AP33">
    <cfRule type="cellIs" dxfId="2" priority="673" operator="lessThanOrEqual">
      <formula>H33</formula>
    </cfRule>
  </conditionalFormatting>
  <conditionalFormatting sqref="AP8">
    <cfRule type="cellIs" dxfId="2" priority="581" operator="lessThanOrEqual">
      <formula>H8</formula>
    </cfRule>
  </conditionalFormatting>
  <conditionalFormatting sqref="AR10">
    <cfRule type="cellIs" dxfId="2" priority="584" operator="lessThanOrEqual">
      <formula>I10</formula>
    </cfRule>
  </conditionalFormatting>
  <conditionalFormatting sqref="AR11">
    <cfRule type="cellIs" dxfId="2" priority="588" operator="lessThanOrEqual">
      <formula>I11</formula>
    </cfRule>
  </conditionalFormatting>
  <conditionalFormatting sqref="AR12">
    <cfRule type="cellIs" dxfId="2" priority="592" operator="lessThanOrEqual">
      <formula>I12</formula>
    </cfRule>
  </conditionalFormatting>
  <conditionalFormatting sqref="AR13">
    <cfRule type="cellIs" dxfId="2" priority="596" operator="lessThanOrEqual">
      <formula>I13</formula>
    </cfRule>
  </conditionalFormatting>
  <conditionalFormatting sqref="AR14">
    <cfRule type="cellIs" dxfId="2" priority="600" operator="lessThanOrEqual">
      <formula>I14</formula>
    </cfRule>
  </conditionalFormatting>
  <conditionalFormatting sqref="AR15">
    <cfRule type="cellIs" dxfId="2" priority="604" operator="lessThanOrEqual">
      <formula>I15</formula>
    </cfRule>
  </conditionalFormatting>
  <conditionalFormatting sqref="AR16">
    <cfRule type="cellIs" dxfId="2" priority="608" operator="lessThanOrEqual">
      <formula>I16</formula>
    </cfRule>
  </conditionalFormatting>
  <conditionalFormatting sqref="AR17">
    <cfRule type="cellIs" dxfId="2" priority="612" operator="lessThanOrEqual">
      <formula>I17</formula>
    </cfRule>
  </conditionalFormatting>
  <conditionalFormatting sqref="AR18">
    <cfRule type="cellIs" dxfId="2" priority="616" operator="lessThanOrEqual">
      <formula>I18</formula>
    </cfRule>
  </conditionalFormatting>
  <conditionalFormatting sqref="AR20">
    <cfRule type="cellIs" dxfId="2" priority="620" operator="lessThanOrEqual">
      <formula>I20</formula>
    </cfRule>
  </conditionalFormatting>
  <conditionalFormatting sqref="AR21">
    <cfRule type="cellIs" dxfId="2" priority="624" operator="lessThanOrEqual">
      <formula>I21</formula>
    </cfRule>
  </conditionalFormatting>
  <conditionalFormatting sqref="AR22">
    <cfRule type="cellIs" dxfId="2" priority="628" operator="lessThanOrEqual">
      <formula>I22</formula>
    </cfRule>
  </conditionalFormatting>
  <conditionalFormatting sqref="AR23">
    <cfRule type="cellIs" dxfId="2" priority="632" operator="lessThanOrEqual">
      <formula>I23</formula>
    </cfRule>
  </conditionalFormatting>
  <conditionalFormatting sqref="AR24">
    <cfRule type="cellIs" dxfId="2" priority="636" operator="lessThanOrEqual">
      <formula>I24</formula>
    </cfRule>
  </conditionalFormatting>
  <conditionalFormatting sqref="AR25">
    <cfRule type="cellIs" dxfId="2" priority="640" operator="lessThanOrEqual">
      <formula>I25</formula>
    </cfRule>
  </conditionalFormatting>
  <conditionalFormatting sqref="AR26">
    <cfRule type="cellIs" dxfId="2" priority="644" operator="lessThanOrEqual">
      <formula>I26</formula>
    </cfRule>
  </conditionalFormatting>
  <conditionalFormatting sqref="AR27">
    <cfRule type="cellIs" dxfId="2" priority="648" operator="lessThanOrEqual">
      <formula>I27</formula>
    </cfRule>
  </conditionalFormatting>
  <conditionalFormatting sqref="AR28">
    <cfRule type="cellIs" dxfId="2" priority="652" operator="lessThanOrEqual">
      <formula>I28</formula>
    </cfRule>
  </conditionalFormatting>
  <conditionalFormatting sqref="AR29">
    <cfRule type="cellIs" dxfId="2" priority="656" operator="lessThanOrEqual">
      <formula>I29</formula>
    </cfRule>
  </conditionalFormatting>
  <conditionalFormatting sqref="AR30">
    <cfRule type="cellIs" dxfId="2" priority="660" operator="lessThanOrEqual">
      <formula>I30</formula>
    </cfRule>
  </conditionalFormatting>
  <conditionalFormatting sqref="AR31">
    <cfRule type="cellIs" dxfId="2" priority="664" operator="lessThanOrEqual">
      <formula>I31</formula>
    </cfRule>
  </conditionalFormatting>
  <conditionalFormatting sqref="AR32">
    <cfRule type="cellIs" dxfId="2" priority="668" operator="lessThanOrEqual">
      <formula>I32</formula>
    </cfRule>
  </conditionalFormatting>
  <conditionalFormatting sqref="AR33">
    <cfRule type="cellIs" dxfId="2" priority="672" operator="lessThanOrEqual">
      <formula>I33</formula>
    </cfRule>
  </conditionalFormatting>
  <conditionalFormatting sqref="AR8">
    <cfRule type="cellIs" dxfId="2" priority="580" operator="lessThanOrEqual">
      <formula>I8</formula>
    </cfRule>
  </conditionalFormatting>
  <conditionalFormatting sqref="AT10">
    <cfRule type="cellIs" dxfId="0" priority="682" operator="lessThan">
      <formula>G10</formula>
    </cfRule>
  </conditionalFormatting>
  <conditionalFormatting sqref="AT11">
    <cfRule type="cellIs" dxfId="0" priority="690" operator="lessThan">
      <formula>G11</formula>
    </cfRule>
  </conditionalFormatting>
  <conditionalFormatting sqref="AT12">
    <cfRule type="cellIs" dxfId="0" priority="698" operator="lessThan">
      <formula>G12</formula>
    </cfRule>
  </conditionalFormatting>
  <conditionalFormatting sqref="AT13">
    <cfRule type="cellIs" dxfId="0" priority="706" operator="lessThan">
      <formula>G13</formula>
    </cfRule>
  </conditionalFormatting>
  <conditionalFormatting sqref="AT14">
    <cfRule type="cellIs" dxfId="0" priority="714" operator="lessThan">
      <formula>G14</formula>
    </cfRule>
  </conditionalFormatting>
  <conditionalFormatting sqref="AT20">
    <cfRule type="cellIs" dxfId="0" priority="722" operator="lessThan">
      <formula>G20</formula>
    </cfRule>
  </conditionalFormatting>
  <conditionalFormatting sqref="AT21">
    <cfRule type="cellIs" dxfId="0" priority="730" operator="lessThan">
      <formula>G21</formula>
    </cfRule>
  </conditionalFormatting>
  <conditionalFormatting sqref="AT23">
    <cfRule type="cellIs" dxfId="0" priority="735" operator="lessThan">
      <formula>G23</formula>
    </cfRule>
  </conditionalFormatting>
  <conditionalFormatting sqref="AT24">
    <cfRule type="cellIs" dxfId="0" priority="743" operator="lessThan">
      <formula>G24</formula>
    </cfRule>
  </conditionalFormatting>
  <conditionalFormatting sqref="AT26">
    <cfRule type="cellIs" dxfId="0" priority="751" operator="lessThan">
      <formula>G26</formula>
    </cfRule>
  </conditionalFormatting>
  <conditionalFormatting sqref="AT28">
    <cfRule type="cellIs" dxfId="0" priority="759" operator="lessThan">
      <formula>G28</formula>
    </cfRule>
  </conditionalFormatting>
  <conditionalFormatting sqref="AT29">
    <cfRule type="cellIs" dxfId="0" priority="767" operator="lessThan">
      <formula>G29</formula>
    </cfRule>
  </conditionalFormatting>
  <conditionalFormatting sqref="AT30">
    <cfRule type="cellIs" dxfId="0" priority="775" operator="lessThan">
      <formula>G30</formula>
    </cfRule>
  </conditionalFormatting>
  <conditionalFormatting sqref="AT31">
    <cfRule type="cellIs" dxfId="0" priority="783" operator="lessThan">
      <formula>G31</formula>
    </cfRule>
  </conditionalFormatting>
  <conditionalFormatting sqref="AT32">
    <cfRule type="cellIs" dxfId="0" priority="791" operator="lessThan">
      <formula>G32</formula>
    </cfRule>
  </conditionalFormatting>
  <conditionalFormatting sqref="AT8">
    <cfRule type="cellIs" dxfId="0" priority="674" operator="lessThan">
      <formula>G8</formula>
    </cfRule>
  </conditionalFormatting>
  <conditionalFormatting sqref="AU10">
    <cfRule type="expression" dxfId="3" priority="683">
      <formula>AND(AU10&gt;0,MOD(AU10,AW10)&lt;&gt;0)</formula>
    </cfRule>
    <cfRule type="expression" dxfId="1" priority="684">
      <formula>AND(NOT(ISBLANK(AU10)),OR(AT10="NonStk",AU10&gt;AT10))</formula>
    </cfRule>
  </conditionalFormatting>
  <conditionalFormatting sqref="AU11">
    <cfRule type="expression" dxfId="3" priority="691">
      <formula>AND(AU11&gt;0,MOD(AU11,AW11)&lt;&gt;0)</formula>
    </cfRule>
    <cfRule type="expression" dxfId="1" priority="692">
      <formula>AND(NOT(ISBLANK(AU11)),OR(AT11="NonStk",AU11&gt;AT11))</formula>
    </cfRule>
  </conditionalFormatting>
  <conditionalFormatting sqref="AU12">
    <cfRule type="expression" dxfId="3" priority="699">
      <formula>AND(AU12&gt;0,MOD(AU12,AW12)&lt;&gt;0)</formula>
    </cfRule>
    <cfRule type="expression" dxfId="1" priority="700">
      <formula>AND(NOT(ISBLANK(AU12)),OR(AT12="NonStk",AU12&gt;AT12))</formula>
    </cfRule>
  </conditionalFormatting>
  <conditionalFormatting sqref="AU13">
    <cfRule type="expression" dxfId="3" priority="707">
      <formula>AND(AU13&gt;0,MOD(AU13,AW13)&lt;&gt;0)</formula>
    </cfRule>
    <cfRule type="expression" dxfId="1" priority="708">
      <formula>AND(NOT(ISBLANK(AU13)),OR(AT13="NonStk",AU13&gt;AT13))</formula>
    </cfRule>
  </conditionalFormatting>
  <conditionalFormatting sqref="AU14">
    <cfRule type="expression" dxfId="3" priority="715">
      <formula>AND(AU14&gt;0,MOD(AU14,AW14)&lt;&gt;0)</formula>
    </cfRule>
    <cfRule type="expression" dxfId="1" priority="716">
      <formula>AND(NOT(ISBLANK(AU14)),OR(AT14="NonStk",AU14&gt;AT14))</formula>
    </cfRule>
  </conditionalFormatting>
  <conditionalFormatting sqref="AU20">
    <cfRule type="expression" dxfId="3" priority="723">
      <formula>AND(AU20&gt;0,MOD(AU20,AW20)&lt;&gt;0)</formula>
    </cfRule>
    <cfRule type="expression" dxfId="1" priority="724">
      <formula>AND(NOT(ISBLANK(AU20)),OR(AT20="NonStk",AU20&gt;AT20))</formula>
    </cfRule>
  </conditionalFormatting>
  <conditionalFormatting sqref="AU21">
    <cfRule type="expression" dxfId="3" priority="731">
      <formula>AND(AU21&gt;0,MOD(AU21,AW21)&lt;&gt;0)</formula>
    </cfRule>
    <cfRule type="expression" dxfId="1" priority="732">
      <formula>AND(NOT(ISBLANK(AU21)),OR(AT21="NonStk",AU21&gt;AT21))</formula>
    </cfRule>
  </conditionalFormatting>
  <conditionalFormatting sqref="AU23">
    <cfRule type="expression" dxfId="3" priority="736">
      <formula>AND(AU23&gt;0,MOD(AU23,AW23)&lt;&gt;0)</formula>
    </cfRule>
    <cfRule type="expression" dxfId="1" priority="737">
      <formula>AND(NOT(ISBLANK(AU23)),OR(AT23="NonStk",AU23&gt;AT23))</formula>
    </cfRule>
  </conditionalFormatting>
  <conditionalFormatting sqref="AU24">
    <cfRule type="expression" dxfId="3" priority="744">
      <formula>AND(AU24&gt;0,MOD(AU24,AW24)&lt;&gt;0)</formula>
    </cfRule>
    <cfRule type="expression" dxfId="1" priority="745">
      <formula>AND(NOT(ISBLANK(AU24)),OR(AT24="NonStk",AU24&gt;AT24))</formula>
    </cfRule>
  </conditionalFormatting>
  <conditionalFormatting sqref="AU26">
    <cfRule type="expression" dxfId="3" priority="752">
      <formula>AND(AU26&gt;0,MOD(AU26,AW26)&lt;&gt;0)</formula>
    </cfRule>
    <cfRule type="expression" dxfId="1" priority="753">
      <formula>AND(NOT(ISBLANK(AU26)),OR(AT26="NonStk",AU26&gt;AT26))</formula>
    </cfRule>
  </conditionalFormatting>
  <conditionalFormatting sqref="AU28">
    <cfRule type="expression" dxfId="3" priority="760">
      <formula>AND(AU28&gt;0,MOD(AU28,AW28)&lt;&gt;0)</formula>
    </cfRule>
    <cfRule type="expression" dxfId="1" priority="761">
      <formula>AND(NOT(ISBLANK(AU28)),OR(AT28="NonStk",AU28&gt;AT28))</formula>
    </cfRule>
  </conditionalFormatting>
  <conditionalFormatting sqref="AU29">
    <cfRule type="expression" dxfId="3" priority="768">
      <formula>AND(AU29&gt;0,MOD(AU29,AW29)&lt;&gt;0)</formula>
    </cfRule>
    <cfRule type="expression" dxfId="1" priority="769">
      <formula>AND(NOT(ISBLANK(AU29)),OR(AT29="NonStk",AU29&gt;AT29))</formula>
    </cfRule>
  </conditionalFormatting>
  <conditionalFormatting sqref="AU30">
    <cfRule type="expression" dxfId="3" priority="776">
      <formula>AND(AU30&gt;0,MOD(AU30,AW30)&lt;&gt;0)</formula>
    </cfRule>
    <cfRule type="expression" dxfId="1" priority="777">
      <formula>AND(NOT(ISBLANK(AU30)),OR(AT30="NonStk",AU30&gt;AT30))</formula>
    </cfRule>
  </conditionalFormatting>
  <conditionalFormatting sqref="AU31">
    <cfRule type="expression" dxfId="3" priority="784">
      <formula>AND(AU31&gt;0,MOD(AU31,AW31)&lt;&gt;0)</formula>
    </cfRule>
    <cfRule type="expression" dxfId="1" priority="785">
      <formula>AND(NOT(ISBLANK(AU31)),OR(AT31="NonStk",AU31&gt;AT31))</formula>
    </cfRule>
  </conditionalFormatting>
  <conditionalFormatting sqref="AU32">
    <cfRule type="expression" dxfId="3" priority="792">
      <formula>AND(AU32&gt;0,MOD(AU32,AW32)&lt;&gt;0)</formula>
    </cfRule>
    <cfRule type="expression" dxfId="1" priority="793">
      <formula>AND(NOT(ISBLANK(AU32)),OR(AT32="NonStk",AU32&gt;AT32))</formula>
    </cfRule>
  </conditionalFormatting>
  <conditionalFormatting sqref="AU8">
    <cfRule type="expression" dxfId="3" priority="675">
      <formula>AND(AU8&gt;0,MOD(AU8,AW8)&lt;&gt;0)</formula>
    </cfRule>
    <cfRule type="expression" dxfId="1" priority="676">
      <formula>AND(NOT(ISBLANK(AU8)),OR(AT8="NonStk",AU8&gt;AT8))</formula>
    </cfRule>
  </conditionalFormatting>
  <conditionalFormatting sqref="AV10">
    <cfRule type="cellIs" dxfId="2" priority="686" operator="lessThanOrEqual">
      <formula>H10</formula>
    </cfRule>
    <cfRule type="expression" dxfId="3" priority="687">
      <formula>AND(G10&lt;500,AU10&lt;500)</formula>
    </cfRule>
  </conditionalFormatting>
  <conditionalFormatting sqref="AV11">
    <cfRule type="cellIs" dxfId="2" priority="694" operator="lessThanOrEqual">
      <formula>H11</formula>
    </cfRule>
    <cfRule type="expression" dxfId="3" priority="695">
      <formula>AND(G11&lt;5,AU11&lt;5)</formula>
    </cfRule>
  </conditionalFormatting>
  <conditionalFormatting sqref="AV12">
    <cfRule type="cellIs" dxfId="2" priority="702" operator="lessThanOrEqual">
      <formula>H12</formula>
    </cfRule>
    <cfRule type="expression" dxfId="3" priority="703">
      <formula>AND(G12&lt;10,AU12&lt;10)</formula>
    </cfRule>
  </conditionalFormatting>
  <conditionalFormatting sqref="AV13">
    <cfRule type="cellIs" dxfId="2" priority="710" operator="lessThanOrEqual">
      <formula>H13</formula>
    </cfRule>
    <cfRule type="expression" dxfId="3" priority="711">
      <formula>AND(G13&lt;100,AU13&lt;100)</formula>
    </cfRule>
  </conditionalFormatting>
  <conditionalFormatting sqref="AV14">
    <cfRule type="cellIs" dxfId="2" priority="718" operator="lessThanOrEqual">
      <formula>H14</formula>
    </cfRule>
    <cfRule type="expression" dxfId="3" priority="719">
      <formula>AND(G14&lt;5,AU14&lt;5)</formula>
    </cfRule>
  </conditionalFormatting>
  <conditionalFormatting sqref="AV20">
    <cfRule type="cellIs" dxfId="2" priority="726" operator="lessThanOrEqual">
      <formula>H20</formula>
    </cfRule>
    <cfRule type="expression" dxfId="3" priority="727">
      <formula>AND(G20&lt;200,AU20&lt;200)</formula>
    </cfRule>
  </conditionalFormatting>
  <conditionalFormatting sqref="AV21">
    <cfRule type="cellIs" dxfId="2" priority="734" operator="lessThanOrEqual">
      <formula>H21</formula>
    </cfRule>
  </conditionalFormatting>
  <conditionalFormatting sqref="AV23">
    <cfRule type="cellIs" dxfId="2" priority="739" operator="lessThanOrEqual">
      <formula>H23</formula>
    </cfRule>
    <cfRule type="expression" dxfId="3" priority="740">
      <formula>AND(G23&lt;5000,AU23&lt;5000)</formula>
    </cfRule>
  </conditionalFormatting>
  <conditionalFormatting sqref="AV24">
    <cfRule type="cellIs" dxfId="2" priority="747" operator="lessThanOrEqual">
      <formula>H24</formula>
    </cfRule>
    <cfRule type="expression" dxfId="3" priority="748">
      <formula>AND(G24&lt;5000,AU24&lt;5000)</formula>
    </cfRule>
  </conditionalFormatting>
  <conditionalFormatting sqref="AV26">
    <cfRule type="cellIs" dxfId="2" priority="755" operator="lessThanOrEqual">
      <formula>H26</formula>
    </cfRule>
    <cfRule type="expression" dxfId="3" priority="756">
      <formula>AND(G26&lt;5000,AU26&lt;5000)</formula>
    </cfRule>
  </conditionalFormatting>
  <conditionalFormatting sqref="AV28">
    <cfRule type="cellIs" dxfId="2" priority="763" operator="lessThanOrEqual">
      <formula>H28</formula>
    </cfRule>
    <cfRule type="expression" dxfId="3" priority="764">
      <formula>AND(G28&lt;5000,AU28&lt;5000)</formula>
    </cfRule>
  </conditionalFormatting>
  <conditionalFormatting sqref="AV29">
    <cfRule type="cellIs" dxfId="2" priority="771" operator="lessThanOrEqual">
      <formula>H29</formula>
    </cfRule>
    <cfRule type="expression" dxfId="3" priority="772">
      <formula>AND(G29&lt;5,AU29&lt;5)</formula>
    </cfRule>
  </conditionalFormatting>
  <conditionalFormatting sqref="AV30">
    <cfRule type="cellIs" dxfId="2" priority="779" operator="lessThanOrEqual">
      <formula>H30</formula>
    </cfRule>
    <cfRule type="expression" dxfId="3" priority="780">
      <formula>AND(G30&lt;5,AU30&lt;5)</formula>
    </cfRule>
  </conditionalFormatting>
  <conditionalFormatting sqref="AV31">
    <cfRule type="cellIs" dxfId="2" priority="787" operator="lessThanOrEqual">
      <formula>H31</formula>
    </cfRule>
    <cfRule type="expression" dxfId="3" priority="788">
      <formula>AND(G31&lt;5,AU31&lt;5)</formula>
    </cfRule>
  </conditionalFormatting>
  <conditionalFormatting sqref="AV32">
    <cfRule type="cellIs" dxfId="2" priority="795" operator="lessThanOrEqual">
      <formula>H32</formula>
    </cfRule>
    <cfRule type="expression" dxfId="3" priority="796">
      <formula>AND(G32&lt;5000,AU32&lt;5000)</formula>
    </cfRule>
  </conditionalFormatting>
  <conditionalFormatting sqref="AV8">
    <cfRule type="cellIs" dxfId="2" priority="678" operator="lessThanOrEqual">
      <formula>H8</formula>
    </cfRule>
    <cfRule type="expression" dxfId="3" priority="679">
      <formula>AND(G8&lt;25,AU8&lt;25)</formula>
    </cfRule>
  </conditionalFormatting>
  <conditionalFormatting sqref="AW10">
    <cfRule type="expression" dxfId="3" priority="688">
      <formula>AND(G10&lt;500,AU10&lt;500)</formula>
    </cfRule>
  </conditionalFormatting>
  <conditionalFormatting sqref="AW11">
    <cfRule type="expression" dxfId="3" priority="696">
      <formula>AND(G11&lt;5,AU11&lt;5)</formula>
    </cfRule>
  </conditionalFormatting>
  <conditionalFormatting sqref="AW12">
    <cfRule type="expression" dxfId="3" priority="704">
      <formula>AND(G12&lt;10,AU12&lt;10)</formula>
    </cfRule>
  </conditionalFormatting>
  <conditionalFormatting sqref="AW13">
    <cfRule type="expression" dxfId="3" priority="712">
      <formula>AND(G13&lt;100,AU13&lt;100)</formula>
    </cfRule>
  </conditionalFormatting>
  <conditionalFormatting sqref="AW14">
    <cfRule type="expression" dxfId="3" priority="720">
      <formula>AND(G14&lt;5,AU14&lt;5)</formula>
    </cfRule>
  </conditionalFormatting>
  <conditionalFormatting sqref="AW20">
    <cfRule type="expression" dxfId="3" priority="728">
      <formula>AND(G20&lt;200,AU20&lt;200)</formula>
    </cfRule>
  </conditionalFormatting>
  <conditionalFormatting sqref="AW23">
    <cfRule type="expression" dxfId="3" priority="741">
      <formula>AND(G23&lt;5000,AU23&lt;5000)</formula>
    </cfRule>
  </conditionalFormatting>
  <conditionalFormatting sqref="AW24">
    <cfRule type="expression" dxfId="3" priority="749">
      <formula>AND(G24&lt;5000,AU24&lt;5000)</formula>
    </cfRule>
  </conditionalFormatting>
  <conditionalFormatting sqref="AW26">
    <cfRule type="expression" dxfId="3" priority="757">
      <formula>AND(G26&lt;5000,AU26&lt;5000)</formula>
    </cfRule>
  </conditionalFormatting>
  <conditionalFormatting sqref="AW28">
    <cfRule type="expression" dxfId="3" priority="765">
      <formula>AND(G28&lt;5000,AU28&lt;5000)</formula>
    </cfRule>
  </conditionalFormatting>
  <conditionalFormatting sqref="AW29">
    <cfRule type="expression" dxfId="3" priority="773">
      <formula>AND(G29&lt;5,AU29&lt;5)</formula>
    </cfRule>
  </conditionalFormatting>
  <conditionalFormatting sqref="AW30">
    <cfRule type="expression" dxfId="3" priority="781">
      <formula>AND(G30&lt;5,AU30&lt;5)</formula>
    </cfRule>
  </conditionalFormatting>
  <conditionalFormatting sqref="AW31">
    <cfRule type="expression" dxfId="3" priority="789">
      <formula>AND(G31&lt;5,AU31&lt;5)</formula>
    </cfRule>
  </conditionalFormatting>
  <conditionalFormatting sqref="AW32">
    <cfRule type="expression" dxfId="3" priority="797">
      <formula>AND(G32&lt;5000,AU32&lt;5000)</formula>
    </cfRule>
  </conditionalFormatting>
  <conditionalFormatting sqref="AW8">
    <cfRule type="expression" dxfId="3" priority="680">
      <formula>AND(G8&lt;25,AU8&lt;25)</formula>
    </cfRule>
  </conditionalFormatting>
  <conditionalFormatting sqref="AX10">
    <cfRule type="cellIs" dxfId="2" priority="685" operator="lessThanOrEqual">
      <formula>I10</formula>
    </cfRule>
    <cfRule type="expression" dxfId="3" priority="689">
      <formula>AND(G10&lt;500,AU10&lt;500)</formula>
    </cfRule>
  </conditionalFormatting>
  <conditionalFormatting sqref="AX11">
    <cfRule type="cellIs" dxfId="2" priority="693" operator="lessThanOrEqual">
      <formula>I11</formula>
    </cfRule>
    <cfRule type="expression" dxfId="3" priority="697">
      <formula>AND(G11&lt;5,AU11&lt;5)</formula>
    </cfRule>
  </conditionalFormatting>
  <conditionalFormatting sqref="AX12">
    <cfRule type="cellIs" dxfId="2" priority="701" operator="lessThanOrEqual">
      <formula>I12</formula>
    </cfRule>
    <cfRule type="expression" dxfId="3" priority="705">
      <formula>AND(G12&lt;10,AU12&lt;10)</formula>
    </cfRule>
  </conditionalFormatting>
  <conditionalFormatting sqref="AX13">
    <cfRule type="cellIs" dxfId="2" priority="709" operator="lessThanOrEqual">
      <formula>I13</formula>
    </cfRule>
    <cfRule type="expression" dxfId="3" priority="713">
      <formula>AND(G13&lt;100,AU13&lt;100)</formula>
    </cfRule>
  </conditionalFormatting>
  <conditionalFormatting sqref="AX14">
    <cfRule type="cellIs" dxfId="2" priority="717" operator="lessThanOrEqual">
      <formula>I14</formula>
    </cfRule>
    <cfRule type="expression" dxfId="3" priority="721">
      <formula>AND(G14&lt;5,AU14&lt;5)</formula>
    </cfRule>
  </conditionalFormatting>
  <conditionalFormatting sqref="AX20">
    <cfRule type="cellIs" dxfId="2" priority="725" operator="lessThanOrEqual">
      <formula>I20</formula>
    </cfRule>
    <cfRule type="expression" dxfId="3" priority="729">
      <formula>AND(G20&lt;200,AU20&lt;200)</formula>
    </cfRule>
  </conditionalFormatting>
  <conditionalFormatting sqref="AX21">
    <cfRule type="cellIs" dxfId="2" priority="733" operator="lessThanOrEqual">
      <formula>I21</formula>
    </cfRule>
  </conditionalFormatting>
  <conditionalFormatting sqref="AX23">
    <cfRule type="cellIs" dxfId="2" priority="738" operator="lessThanOrEqual">
      <formula>I23</formula>
    </cfRule>
    <cfRule type="expression" dxfId="3" priority="742">
      <formula>AND(G23&lt;5000,AU23&lt;5000)</formula>
    </cfRule>
  </conditionalFormatting>
  <conditionalFormatting sqref="AX24">
    <cfRule type="cellIs" dxfId="2" priority="746" operator="lessThanOrEqual">
      <formula>I24</formula>
    </cfRule>
    <cfRule type="expression" dxfId="3" priority="750">
      <formula>AND(G24&lt;5000,AU24&lt;5000)</formula>
    </cfRule>
  </conditionalFormatting>
  <conditionalFormatting sqref="AX26">
    <cfRule type="cellIs" dxfId="2" priority="754" operator="lessThanOrEqual">
      <formula>I26</formula>
    </cfRule>
    <cfRule type="expression" dxfId="3" priority="758">
      <formula>AND(G26&lt;5000,AU26&lt;5000)</formula>
    </cfRule>
  </conditionalFormatting>
  <conditionalFormatting sqref="AX28">
    <cfRule type="cellIs" dxfId="2" priority="762" operator="lessThanOrEqual">
      <formula>I28</formula>
    </cfRule>
    <cfRule type="expression" dxfId="3" priority="766">
      <formula>AND(G28&lt;5000,AU28&lt;5000)</formula>
    </cfRule>
  </conditionalFormatting>
  <conditionalFormatting sqref="AX29">
    <cfRule type="cellIs" dxfId="2" priority="770" operator="lessThanOrEqual">
      <formula>I29</formula>
    </cfRule>
    <cfRule type="expression" dxfId="3" priority="774">
      <formula>AND(G29&lt;5,AU29&lt;5)</formula>
    </cfRule>
  </conditionalFormatting>
  <conditionalFormatting sqref="AX30">
    <cfRule type="cellIs" dxfId="2" priority="778" operator="lessThanOrEqual">
      <formula>I30</formula>
    </cfRule>
    <cfRule type="expression" dxfId="3" priority="782">
      <formula>AND(G30&lt;5,AU30&lt;5)</formula>
    </cfRule>
  </conditionalFormatting>
  <conditionalFormatting sqref="AX31">
    <cfRule type="cellIs" dxfId="2" priority="786" operator="lessThanOrEqual">
      <formula>I31</formula>
    </cfRule>
    <cfRule type="expression" dxfId="3" priority="790">
      <formula>AND(G31&lt;5,AU31&lt;5)</formula>
    </cfRule>
  </conditionalFormatting>
  <conditionalFormatting sqref="AX32">
    <cfRule type="cellIs" dxfId="2" priority="794" operator="lessThanOrEqual">
      <formula>I32</formula>
    </cfRule>
    <cfRule type="expression" dxfId="3" priority="798">
      <formula>AND(G32&lt;5000,AU32&lt;5000)</formula>
    </cfRule>
  </conditionalFormatting>
  <conditionalFormatting sqref="AX8">
    <cfRule type="cellIs" dxfId="2" priority="677" operator="lessThanOrEqual">
      <formula>I8</formula>
    </cfRule>
    <cfRule type="expression" dxfId="3" priority="681">
      <formula>AND(G8&lt;25,AU8&lt;25)</formula>
    </cfRule>
  </conditionalFormatting>
  <conditionalFormatting sqref="AZ10">
    <cfRule type="cellIs" dxfId="0" priority="807" operator="lessThan">
      <formula>G10</formula>
    </cfRule>
  </conditionalFormatting>
  <conditionalFormatting sqref="AZ12">
    <cfRule type="cellIs" dxfId="0" priority="815" operator="lessThan">
      <formula>G12</formula>
    </cfRule>
  </conditionalFormatting>
  <conditionalFormatting sqref="AZ13">
    <cfRule type="cellIs" dxfId="0" priority="823" operator="lessThan">
      <formula>G13</formula>
    </cfRule>
  </conditionalFormatting>
  <conditionalFormatting sqref="AZ14">
    <cfRule type="cellIs" dxfId="0" priority="831" operator="lessThan">
      <formula>G14</formula>
    </cfRule>
  </conditionalFormatting>
  <conditionalFormatting sqref="AZ15">
    <cfRule type="cellIs" dxfId="0" priority="839" operator="lessThan">
      <formula>G15</formula>
    </cfRule>
  </conditionalFormatting>
  <conditionalFormatting sqref="AZ16">
    <cfRule type="cellIs" dxfId="0" priority="847" operator="lessThan">
      <formula>G16</formula>
    </cfRule>
  </conditionalFormatting>
  <conditionalFormatting sqref="AZ17">
    <cfRule type="cellIs" dxfId="0" priority="851" operator="lessThan">
      <formula>G17</formula>
    </cfRule>
  </conditionalFormatting>
  <conditionalFormatting sqref="AZ18">
    <cfRule type="cellIs" dxfId="0" priority="859" operator="lessThan">
      <formula>G18</formula>
    </cfRule>
  </conditionalFormatting>
  <conditionalFormatting sqref="AZ21">
    <cfRule type="cellIs" dxfId="0" priority="863" operator="lessThan">
      <formula>G21</formula>
    </cfRule>
  </conditionalFormatting>
  <conditionalFormatting sqref="AZ29">
    <cfRule type="cellIs" dxfId="0" priority="871" operator="lessThan">
      <formula>G29</formula>
    </cfRule>
  </conditionalFormatting>
  <conditionalFormatting sqref="AZ30">
    <cfRule type="cellIs" dxfId="0" priority="875" operator="lessThan">
      <formula>G30</formula>
    </cfRule>
  </conditionalFormatting>
  <conditionalFormatting sqref="AZ31">
    <cfRule type="cellIs" dxfId="0" priority="879" operator="lessThan">
      <formula>G31</formula>
    </cfRule>
  </conditionalFormatting>
  <conditionalFormatting sqref="AZ8">
    <cfRule type="cellIs" dxfId="0" priority="799" operator="lessThan">
      <formula>G8</formula>
    </cfRule>
  </conditionalFormatting>
  <conditionalFormatting sqref="BA10">
    <cfRule type="expression" dxfId="3" priority="808">
      <formula>AND(BA10&gt;0,MOD(BA10,BC10)&lt;&gt;0)</formula>
    </cfRule>
    <cfRule type="expression" dxfId="1" priority="809">
      <formula>AND(NOT(ISBLANK(BA10)),OR(AZ10="NonStk",BA10&gt;AZ10))</formula>
    </cfRule>
  </conditionalFormatting>
  <conditionalFormatting sqref="BA12">
    <cfRule type="expression" dxfId="3" priority="816">
      <formula>AND(BA12&gt;0,MOD(BA12,BC12)&lt;&gt;0)</formula>
    </cfRule>
    <cfRule type="expression" dxfId="1" priority="817">
      <formula>AND(NOT(ISBLANK(BA12)),OR(AZ12="NonStk",BA12&gt;AZ12))</formula>
    </cfRule>
  </conditionalFormatting>
  <conditionalFormatting sqref="BA13">
    <cfRule type="expression" dxfId="3" priority="824">
      <formula>AND(BA13&gt;0,MOD(BA13,BC13)&lt;&gt;0)</formula>
    </cfRule>
    <cfRule type="expression" dxfId="1" priority="825">
      <formula>AND(NOT(ISBLANK(BA13)),OR(AZ13="NonStk",BA13&gt;AZ13))</formula>
    </cfRule>
  </conditionalFormatting>
  <conditionalFormatting sqref="BA14">
    <cfRule type="expression" dxfId="3" priority="832">
      <formula>AND(BA14&gt;0,MOD(BA14,BC14)&lt;&gt;0)</formula>
    </cfRule>
    <cfRule type="expression" dxfId="1" priority="833">
      <formula>AND(NOT(ISBLANK(BA14)),OR(AZ14="NonStk",BA14&gt;AZ14))</formula>
    </cfRule>
  </conditionalFormatting>
  <conditionalFormatting sqref="BA15">
    <cfRule type="expression" dxfId="3" priority="840">
      <formula>AND(BA15&gt;0,MOD(BA15,BC15)&lt;&gt;0)</formula>
    </cfRule>
    <cfRule type="expression" dxfId="1" priority="841">
      <formula>AND(NOT(ISBLANK(BA15)),OR(AZ15="NonStk",BA15&gt;AZ15))</formula>
    </cfRule>
  </conditionalFormatting>
  <conditionalFormatting sqref="BA16">
    <cfRule type="expression" dxfId="1" priority="848">
      <formula>AND(NOT(ISBLANK(BA16)),OR(AZ16="NonStk",BA16&gt;AZ16))</formula>
    </cfRule>
  </conditionalFormatting>
  <conditionalFormatting sqref="BA17">
    <cfRule type="expression" dxfId="3" priority="852">
      <formula>AND(BA17&gt;0,MOD(BA17,BC17)&lt;&gt;0)</formula>
    </cfRule>
    <cfRule type="expression" dxfId="1" priority="853">
      <formula>AND(NOT(ISBLANK(BA17)),OR(AZ17="NonStk",BA17&gt;AZ17))</formula>
    </cfRule>
  </conditionalFormatting>
  <conditionalFormatting sqref="BA18">
    <cfRule type="expression" dxfId="1" priority="860">
      <formula>AND(NOT(ISBLANK(BA18)),OR(AZ18="NonStk",BA18&gt;AZ18))</formula>
    </cfRule>
  </conditionalFormatting>
  <conditionalFormatting sqref="BA21">
    <cfRule type="expression" dxfId="3" priority="864">
      <formula>AND(BA21&gt;0,MOD(BA21,BC21)&lt;&gt;0)</formula>
    </cfRule>
    <cfRule type="expression" dxfId="1" priority="865">
      <formula>AND(NOT(ISBLANK(BA21)),OR(AZ21="NonStk",BA21&gt;AZ21))</formula>
    </cfRule>
  </conditionalFormatting>
  <conditionalFormatting sqref="BA29">
    <cfRule type="expression" dxfId="1" priority="872">
      <formula>AND(NOT(ISBLANK(BA29)),OR(AZ29="NonStk",BA29&gt;AZ29))</formula>
    </cfRule>
  </conditionalFormatting>
  <conditionalFormatting sqref="BA30">
    <cfRule type="expression" dxfId="1" priority="876">
      <formula>AND(NOT(ISBLANK(BA30)),OR(AZ30="NonStk",BA30&gt;AZ30))</formula>
    </cfRule>
  </conditionalFormatting>
  <conditionalFormatting sqref="BA31">
    <cfRule type="expression" dxfId="1" priority="880">
      <formula>AND(NOT(ISBLANK(BA31)),OR(AZ31="NonStk",BA31&gt;AZ31))</formula>
    </cfRule>
  </conditionalFormatting>
  <conditionalFormatting sqref="BA8">
    <cfRule type="expression" dxfId="3" priority="800">
      <formula>AND(BA8&gt;0,MOD(BA8,BC8)&lt;&gt;0)</formula>
    </cfRule>
    <cfRule type="expression" dxfId="1" priority="801">
      <formula>AND(NOT(ISBLANK(BA8)),OR(AZ8="NonStk",BA8&gt;AZ8))</formula>
    </cfRule>
  </conditionalFormatting>
  <conditionalFormatting sqref="BB10">
    <cfRule type="cellIs" dxfId="2" priority="811" operator="lessThanOrEqual">
      <formula>H10</formula>
    </cfRule>
    <cfRule type="expression" dxfId="3" priority="812">
      <formula>AND(G10&lt;100,BA10&lt;100)</formula>
    </cfRule>
  </conditionalFormatting>
  <conditionalFormatting sqref="BB12">
    <cfRule type="cellIs" dxfId="2" priority="819" operator="lessThanOrEqual">
      <formula>H12</formula>
    </cfRule>
    <cfRule type="expression" dxfId="3" priority="820">
      <formula>AND(G12&lt;100,BA12&lt;100)</formula>
    </cfRule>
  </conditionalFormatting>
  <conditionalFormatting sqref="BB13">
    <cfRule type="cellIs" dxfId="2" priority="827" operator="lessThanOrEqual">
      <formula>H13</formula>
    </cfRule>
    <cfRule type="expression" dxfId="3" priority="828">
      <formula>AND(G13&lt;10,BA13&lt;10)</formula>
    </cfRule>
  </conditionalFormatting>
  <conditionalFormatting sqref="BB14">
    <cfRule type="cellIs" dxfId="2" priority="835" operator="lessThanOrEqual">
      <formula>H14</formula>
    </cfRule>
    <cfRule type="expression" dxfId="3" priority="836">
      <formula>AND(G14&lt;10,BA14&lt;10)</formula>
    </cfRule>
  </conditionalFormatting>
  <conditionalFormatting sqref="BB15">
    <cfRule type="cellIs" dxfId="2" priority="843" operator="lessThanOrEqual">
      <formula>H15</formula>
    </cfRule>
    <cfRule type="expression" dxfId="3" priority="844">
      <formula>AND(G15&lt;30,BA15&lt;30)</formula>
    </cfRule>
  </conditionalFormatting>
  <conditionalFormatting sqref="BB16">
    <cfRule type="cellIs" dxfId="2" priority="850" operator="lessThanOrEqual">
      <formula>H16</formula>
    </cfRule>
  </conditionalFormatting>
  <conditionalFormatting sqref="BB17">
    <cfRule type="cellIs" dxfId="2" priority="855" operator="lessThanOrEqual">
      <formula>H17</formula>
    </cfRule>
    <cfRule type="expression" dxfId="3" priority="856">
      <formula>AND(G17&lt;3,BA17&lt;3)</formula>
    </cfRule>
  </conditionalFormatting>
  <conditionalFormatting sqref="BB18">
    <cfRule type="cellIs" dxfId="2" priority="862" operator="lessThanOrEqual">
      <formula>H18</formula>
    </cfRule>
  </conditionalFormatting>
  <conditionalFormatting sqref="BB21">
    <cfRule type="cellIs" dxfId="2" priority="867" operator="lessThanOrEqual">
      <formula>H21</formula>
    </cfRule>
    <cfRule type="expression" dxfId="3" priority="868">
      <formula>AND(G21&lt;10,BA21&lt;10)</formula>
    </cfRule>
  </conditionalFormatting>
  <conditionalFormatting sqref="BB29">
    <cfRule type="cellIs" dxfId="2" priority="874" operator="lessThanOrEqual">
      <formula>H29</formula>
    </cfRule>
  </conditionalFormatting>
  <conditionalFormatting sqref="BB30">
    <cfRule type="cellIs" dxfId="2" priority="878" operator="lessThanOrEqual">
      <formula>H30</formula>
    </cfRule>
  </conditionalFormatting>
  <conditionalFormatting sqref="BB31">
    <cfRule type="cellIs" dxfId="2" priority="882" operator="lessThanOrEqual">
      <formula>H31</formula>
    </cfRule>
  </conditionalFormatting>
  <conditionalFormatting sqref="BB8">
    <cfRule type="cellIs" dxfId="2" priority="803" operator="lessThanOrEqual">
      <formula>H8</formula>
    </cfRule>
    <cfRule type="expression" dxfId="3" priority="804">
      <formula>AND(G8&lt;100,BA8&lt;100)</formula>
    </cfRule>
  </conditionalFormatting>
  <conditionalFormatting sqref="BC10">
    <cfRule type="expression" dxfId="3" priority="813">
      <formula>AND(G10&lt;100,BA10&lt;100)</formula>
    </cfRule>
  </conditionalFormatting>
  <conditionalFormatting sqref="BC12">
    <cfRule type="expression" dxfId="3" priority="821">
      <formula>AND(G12&lt;100,BA12&lt;100)</formula>
    </cfRule>
  </conditionalFormatting>
  <conditionalFormatting sqref="BC13">
    <cfRule type="expression" dxfId="3" priority="829">
      <formula>AND(G13&lt;10,BA13&lt;10)</formula>
    </cfRule>
  </conditionalFormatting>
  <conditionalFormatting sqref="BC14">
    <cfRule type="expression" dxfId="3" priority="837">
      <formula>AND(G14&lt;10,BA14&lt;10)</formula>
    </cfRule>
  </conditionalFormatting>
  <conditionalFormatting sqref="BC15">
    <cfRule type="expression" dxfId="3" priority="845">
      <formula>AND(G15&lt;30,BA15&lt;30)</formula>
    </cfRule>
  </conditionalFormatting>
  <conditionalFormatting sqref="BC17">
    <cfRule type="expression" dxfId="3" priority="857">
      <formula>AND(G17&lt;3,BA17&lt;3)</formula>
    </cfRule>
  </conditionalFormatting>
  <conditionalFormatting sqref="BC21">
    <cfRule type="expression" dxfId="3" priority="869">
      <formula>AND(G21&lt;10,BA21&lt;10)</formula>
    </cfRule>
  </conditionalFormatting>
  <conditionalFormatting sqref="BC8">
    <cfRule type="expression" dxfId="3" priority="805">
      <formula>AND(G8&lt;100,BA8&lt;100)</formula>
    </cfRule>
  </conditionalFormatting>
  <conditionalFormatting sqref="BD10">
    <cfRule type="cellIs" dxfId="2" priority="810" operator="lessThanOrEqual">
      <formula>I10</formula>
    </cfRule>
    <cfRule type="expression" dxfId="3" priority="814">
      <formula>AND(G10&lt;100,BA10&lt;100)</formula>
    </cfRule>
  </conditionalFormatting>
  <conditionalFormatting sqref="BD12">
    <cfRule type="cellIs" dxfId="2" priority="818" operator="lessThanOrEqual">
      <formula>I12</formula>
    </cfRule>
    <cfRule type="expression" dxfId="3" priority="822">
      <formula>AND(G12&lt;100,BA12&lt;100)</formula>
    </cfRule>
  </conditionalFormatting>
  <conditionalFormatting sqref="BD13">
    <cfRule type="cellIs" dxfId="2" priority="826" operator="lessThanOrEqual">
      <formula>I13</formula>
    </cfRule>
    <cfRule type="expression" dxfId="3" priority="830">
      <formula>AND(G13&lt;10,BA13&lt;10)</formula>
    </cfRule>
  </conditionalFormatting>
  <conditionalFormatting sqref="BD14">
    <cfRule type="cellIs" dxfId="2" priority="834" operator="lessThanOrEqual">
      <formula>I14</formula>
    </cfRule>
    <cfRule type="expression" dxfId="3" priority="838">
      <formula>AND(G14&lt;10,BA14&lt;10)</formula>
    </cfRule>
  </conditionalFormatting>
  <conditionalFormatting sqref="BD15">
    <cfRule type="cellIs" dxfId="2" priority="842" operator="lessThanOrEqual">
      <formula>I15</formula>
    </cfRule>
    <cfRule type="expression" dxfId="3" priority="846">
      <formula>AND(G15&lt;30,BA15&lt;30)</formula>
    </cfRule>
  </conditionalFormatting>
  <conditionalFormatting sqref="BD16">
    <cfRule type="cellIs" dxfId="2" priority="849" operator="lessThanOrEqual">
      <formula>I16</formula>
    </cfRule>
  </conditionalFormatting>
  <conditionalFormatting sqref="BD17">
    <cfRule type="cellIs" dxfId="2" priority="854" operator="lessThanOrEqual">
      <formula>I17</formula>
    </cfRule>
    <cfRule type="expression" dxfId="3" priority="858">
      <formula>AND(G17&lt;3,BA17&lt;3)</formula>
    </cfRule>
  </conditionalFormatting>
  <conditionalFormatting sqref="BD18">
    <cfRule type="cellIs" dxfId="2" priority="861" operator="lessThanOrEqual">
      <formula>I18</formula>
    </cfRule>
  </conditionalFormatting>
  <conditionalFormatting sqref="BD21">
    <cfRule type="cellIs" dxfId="2" priority="866" operator="lessThanOrEqual">
      <formula>I21</formula>
    </cfRule>
    <cfRule type="expression" dxfId="3" priority="870">
      <formula>AND(G21&lt;10,BA21&lt;10)</formula>
    </cfRule>
  </conditionalFormatting>
  <conditionalFormatting sqref="BD29">
    <cfRule type="cellIs" dxfId="2" priority="873" operator="lessThanOrEqual">
      <formula>I29</formula>
    </cfRule>
  </conditionalFormatting>
  <conditionalFormatting sqref="BD30">
    <cfRule type="cellIs" dxfId="2" priority="877" operator="lessThanOrEqual">
      <formula>I30</formula>
    </cfRule>
  </conditionalFormatting>
  <conditionalFormatting sqref="BD31">
    <cfRule type="cellIs" dxfId="2" priority="881" operator="lessThanOrEqual">
      <formula>I31</formula>
    </cfRule>
  </conditionalFormatting>
  <conditionalFormatting sqref="BD8">
    <cfRule type="cellIs" dxfId="2" priority="802" operator="lessThanOrEqual">
      <formula>I8</formula>
    </cfRule>
    <cfRule type="expression" dxfId="3" priority="806">
      <formula>AND(G8&lt;100,BA8&lt;100)</formula>
    </cfRule>
  </conditionalFormatting>
  <conditionalFormatting sqref="G10">
    <cfRule type="expression" dxfId="4" priority="895">
      <formula>AND(ISBLANK(F10),ISBLANK(N10),ISBLANK(T10),ISBLANK(Z10),ISBLANK(AF10),ISBLANK(AL10),ISBLANK(AR10),ISBLANK(AX10),ISBLANK(BD10))</formula>
    </cfRule>
    <cfRule type="expression" dxfId="1" priority="896">
      <formula>IF(SUM(J10,P10,V10,AB10,AH10,AN10,AT10,AZ10)=0,1,0)</formula>
    </cfRule>
    <cfRule type="cellIs" dxfId="0" priority="897" operator="greaterThan">
      <formula>SUM(J10,P10,V10,AB10,AH10,AN10,AT10,AZ10)</formula>
    </cfRule>
    <cfRule type="cellIs" dxfId="3" priority="898" operator="greaterThan">
      <formula>SUM(IF(ISNUMBER(L10),K10,0),IF(ISNUMBER(R10),Q10,0),IF(ISNUMBER(X10),W10,0),IF(ISNUMBER(AD10),AC10,0),IF(ISNUMBER(AJ10),AI10,0),IF(ISNUMBER(AP10),AO10,0),IF(ISNUMBER(AV10),AU10,0),IF(ISNUMBER(BB10),BA10,0))</formula>
    </cfRule>
  </conditionalFormatting>
  <conditionalFormatting sqref="G11">
    <cfRule type="expression" dxfId="4" priority="899">
      <formula>AND(ISBLANK(F11),ISBLANK(N11),ISBLANK(T11),ISBLANK(Z11),ISBLANK(AF11),ISBLANK(AL11),ISBLANK(AR11),ISBLANK(AX11),ISBLANK(BD11))</formula>
    </cfRule>
    <cfRule type="expression" dxfId="1" priority="900">
      <formula>IF(SUM(J11,P11,V11,AB11,AH11,AN11,AT11,AZ11)=0,1,0)</formula>
    </cfRule>
    <cfRule type="cellIs" dxfId="0" priority="901" operator="greaterThan">
      <formula>SUM(J11,P11,V11,AB11,AH11,AN11,AT11,AZ11)</formula>
    </cfRule>
    <cfRule type="cellIs" dxfId="3" priority="902" operator="greaterThan">
      <formula>SUM(IF(ISNUMBER(L11),K11,0),IF(ISNUMBER(R11),Q11,0),IF(ISNUMBER(X11),W11,0),IF(ISNUMBER(AD11),AC11,0),IF(ISNUMBER(AJ11),AI11,0),IF(ISNUMBER(AP11),AO11,0),IF(ISNUMBER(AV11),AU11,0),IF(ISNUMBER(BB11),BA11,0))</formula>
    </cfRule>
  </conditionalFormatting>
  <conditionalFormatting sqref="G12">
    <cfRule type="expression" dxfId="4" priority="903">
      <formula>AND(ISBLANK(F12),ISBLANK(N12),ISBLANK(T12),ISBLANK(Z12),ISBLANK(AF12),ISBLANK(AL12),ISBLANK(AR12),ISBLANK(AX12),ISBLANK(BD12))</formula>
    </cfRule>
    <cfRule type="expression" dxfId="1" priority="904">
      <formula>IF(SUM(J12,P12,V12,AB12,AH12,AN12,AT12,AZ12)=0,1,0)</formula>
    </cfRule>
    <cfRule type="cellIs" dxfId="0" priority="905" operator="greaterThan">
      <formula>SUM(J12,P12,V12,AB12,AH12,AN12,AT12,AZ12)</formula>
    </cfRule>
    <cfRule type="cellIs" dxfId="3" priority="906" operator="greaterThan">
      <formula>SUM(IF(ISNUMBER(L12),K12,0),IF(ISNUMBER(R12),Q12,0),IF(ISNUMBER(X12),W12,0),IF(ISNUMBER(AD12),AC12,0),IF(ISNUMBER(AJ12),AI12,0),IF(ISNUMBER(AP12),AO12,0),IF(ISNUMBER(AV12),AU12,0),IF(ISNUMBER(BB12),BA12,0))</formula>
    </cfRule>
  </conditionalFormatting>
  <conditionalFormatting sqref="G13">
    <cfRule type="expression" dxfId="4" priority="907">
      <formula>AND(ISBLANK(F13),ISBLANK(N13),ISBLANK(T13),ISBLANK(Z13),ISBLANK(AF13),ISBLANK(AL13),ISBLANK(AR13),ISBLANK(AX13),ISBLANK(BD13))</formula>
    </cfRule>
    <cfRule type="expression" dxfId="1" priority="908">
      <formula>IF(SUM(J13,P13,V13,AB13,AH13,AN13,AT13,AZ13)=0,1,0)</formula>
    </cfRule>
    <cfRule type="cellIs" dxfId="0" priority="909" operator="greaterThan">
      <formula>SUM(J13,P13,V13,AB13,AH13,AN13,AT13,AZ13)</formula>
    </cfRule>
    <cfRule type="cellIs" dxfId="3" priority="910" operator="greaterThan">
      <formula>SUM(IF(ISNUMBER(L13),K13,0),IF(ISNUMBER(R13),Q13,0),IF(ISNUMBER(X13),W13,0),IF(ISNUMBER(AD13),AC13,0),IF(ISNUMBER(AJ13),AI13,0),IF(ISNUMBER(AP13),AO13,0),IF(ISNUMBER(AV13),AU13,0),IF(ISNUMBER(BB13),BA13,0))</formula>
    </cfRule>
  </conditionalFormatting>
  <conditionalFormatting sqref="G14">
    <cfRule type="expression" dxfId="4" priority="911">
      <formula>AND(ISBLANK(F14),ISBLANK(N14),ISBLANK(T14),ISBLANK(Z14),ISBLANK(AF14),ISBLANK(AL14),ISBLANK(AR14),ISBLANK(AX14),ISBLANK(BD14))</formula>
    </cfRule>
    <cfRule type="expression" dxfId="1" priority="912">
      <formula>IF(SUM(J14,P14,V14,AB14,AH14,AN14,AT14,AZ14)=0,1,0)</formula>
    </cfRule>
    <cfRule type="cellIs" dxfId="0" priority="913" operator="greaterThan">
      <formula>SUM(J14,P14,V14,AB14,AH14,AN14,AT14,AZ14)</formula>
    </cfRule>
    <cfRule type="cellIs" dxfId="3" priority="914" operator="greaterThan">
      <formula>SUM(IF(ISNUMBER(L14),K14,0),IF(ISNUMBER(R14),Q14,0),IF(ISNUMBER(X14),W14,0),IF(ISNUMBER(AD14),AC14,0),IF(ISNUMBER(AJ14),AI14,0),IF(ISNUMBER(AP14),AO14,0),IF(ISNUMBER(AV14),AU14,0),IF(ISNUMBER(BB14),BA14,0))</formula>
    </cfRule>
  </conditionalFormatting>
  <conditionalFormatting sqref="G15">
    <cfRule type="expression" dxfId="4" priority="915">
      <formula>AND(ISBLANK(F15),ISBLANK(N15),ISBLANK(T15),ISBLANK(Z15),ISBLANK(AF15),ISBLANK(AL15),ISBLANK(AR15),ISBLANK(AX15),ISBLANK(BD15))</formula>
    </cfRule>
    <cfRule type="expression" dxfId="1" priority="916">
      <formula>IF(SUM(J15,P15,V15,AB15,AH15,AN15,AT15,AZ15)=0,1,0)</formula>
    </cfRule>
    <cfRule type="cellIs" dxfId="0" priority="917" operator="greaterThan">
      <formula>SUM(J15,P15,V15,AB15,AH15,AN15,AT15,AZ15)</formula>
    </cfRule>
    <cfRule type="cellIs" dxfId="3" priority="918" operator="greaterThan">
      <formula>SUM(IF(ISNUMBER(L15),K15,0),IF(ISNUMBER(R15),Q15,0),IF(ISNUMBER(X15),W15,0),IF(ISNUMBER(AD15),AC15,0),IF(ISNUMBER(AJ15),AI15,0),IF(ISNUMBER(AP15),AO15,0),IF(ISNUMBER(AV15),AU15,0),IF(ISNUMBER(BB15),BA15,0))</formula>
    </cfRule>
  </conditionalFormatting>
  <conditionalFormatting sqref="G16">
    <cfRule type="expression" dxfId="4" priority="919">
      <formula>AND(ISBLANK(F16),ISBLANK(N16),ISBLANK(T16),ISBLANK(Z16),ISBLANK(AF16),ISBLANK(AL16),ISBLANK(AR16),ISBLANK(AX16),ISBLANK(BD16))</formula>
    </cfRule>
    <cfRule type="expression" dxfId="1" priority="920">
      <formula>IF(SUM(J16,P16,V16,AB16,AH16,AN16,AT16,AZ16)=0,1,0)</formula>
    </cfRule>
    <cfRule type="cellIs" dxfId="0" priority="921" operator="greaterThan">
      <formula>SUM(J16,P16,V16,AB16,AH16,AN16,AT16,AZ16)</formula>
    </cfRule>
    <cfRule type="cellIs" dxfId="3" priority="922" operator="greaterThan">
      <formula>SUM(IF(ISNUMBER(L16),K16,0),IF(ISNUMBER(R16),Q16,0),IF(ISNUMBER(X16),W16,0),IF(ISNUMBER(AD16),AC16,0),IF(ISNUMBER(AJ16),AI16,0),IF(ISNUMBER(AP16),AO16,0),IF(ISNUMBER(AV16),AU16,0),IF(ISNUMBER(BB16),BA16,0))</formula>
    </cfRule>
  </conditionalFormatting>
  <conditionalFormatting sqref="G17">
    <cfRule type="expression" dxfId="4" priority="923">
      <formula>AND(ISBLANK(F17),ISBLANK(N17),ISBLANK(T17),ISBLANK(Z17),ISBLANK(AF17),ISBLANK(AL17),ISBLANK(AR17),ISBLANK(AX17),ISBLANK(BD17))</formula>
    </cfRule>
    <cfRule type="expression" dxfId="1" priority="924">
      <formula>IF(SUM(J17,P17,V17,AB17,AH17,AN17,AT17,AZ17)=0,1,0)</formula>
    </cfRule>
    <cfRule type="cellIs" dxfId="0" priority="925" operator="greaterThan">
      <formula>SUM(J17,P17,V17,AB17,AH17,AN17,AT17,AZ17)</formula>
    </cfRule>
    <cfRule type="cellIs" dxfId="3" priority="926" operator="greaterThan">
      <formula>SUM(IF(ISNUMBER(L17),K17,0),IF(ISNUMBER(R17),Q17,0),IF(ISNUMBER(X17),W17,0),IF(ISNUMBER(AD17),AC17,0),IF(ISNUMBER(AJ17),AI17,0),IF(ISNUMBER(AP17),AO17,0),IF(ISNUMBER(AV17),AU17,0),IF(ISNUMBER(BB17),BA17,0))</formula>
    </cfRule>
  </conditionalFormatting>
  <conditionalFormatting sqref="G18">
    <cfRule type="expression" dxfId="4" priority="927">
      <formula>AND(ISBLANK(F18),ISBLANK(N18),ISBLANK(T18),ISBLANK(Z18),ISBLANK(AF18),ISBLANK(AL18),ISBLANK(AR18),ISBLANK(AX18),ISBLANK(BD18))</formula>
    </cfRule>
    <cfRule type="expression" dxfId="1" priority="928">
      <formula>IF(SUM(J18,P18,V18,AB18,AH18,AN18,AT18,AZ18)=0,1,0)</formula>
    </cfRule>
    <cfRule type="cellIs" dxfId="0" priority="929" operator="greaterThan">
      <formula>SUM(J18,P18,V18,AB18,AH18,AN18,AT18,AZ18)</formula>
    </cfRule>
    <cfRule type="cellIs" dxfId="3" priority="930" operator="greaterThan">
      <formula>SUM(IF(ISNUMBER(L18),K18,0),IF(ISNUMBER(R18),Q18,0),IF(ISNUMBER(X18),W18,0),IF(ISNUMBER(AD18),AC18,0),IF(ISNUMBER(AJ18),AI18,0),IF(ISNUMBER(AP18),AO18,0),IF(ISNUMBER(AV18),AU18,0),IF(ISNUMBER(BB18),BA18,0))</formula>
    </cfRule>
  </conditionalFormatting>
  <conditionalFormatting sqref="G19">
    <cfRule type="expression" dxfId="4" priority="931">
      <formula>AND(ISBLANK(F19),ISBLANK(N19),ISBLANK(T19),ISBLANK(Z19),ISBLANK(AF19),ISBLANK(AL19),ISBLANK(AR19),ISBLANK(AX19),ISBLANK(BD19))</formula>
    </cfRule>
    <cfRule type="expression" dxfId="1" priority="932">
      <formula>IF(SUM(J19,P19,V19,AB19,AH19,AN19,AT19,AZ19)=0,1,0)</formula>
    </cfRule>
    <cfRule type="cellIs" dxfId="0" priority="933" operator="greaterThan">
      <formula>SUM(J19,P19,V19,AB19,AH19,AN19,AT19,AZ19)</formula>
    </cfRule>
    <cfRule type="cellIs" dxfId="3" priority="934" operator="greaterThan">
      <formula>SUM(IF(ISNUMBER(L19),K19,0),IF(ISNUMBER(R19),Q19,0),IF(ISNUMBER(X19),W19,0),IF(ISNUMBER(AD19),AC19,0),IF(ISNUMBER(AJ19),AI19,0),IF(ISNUMBER(AP19),AO19,0),IF(ISNUMBER(AV19),AU19,0),IF(ISNUMBER(BB19),BA19,0))</formula>
    </cfRule>
  </conditionalFormatting>
  <conditionalFormatting sqref="G20">
    <cfRule type="expression" dxfId="4" priority="935">
      <formula>AND(ISBLANK(F20),ISBLANK(N20),ISBLANK(T20),ISBLANK(Z20),ISBLANK(AF20),ISBLANK(AL20),ISBLANK(AR20),ISBLANK(AX20),ISBLANK(BD20))</formula>
    </cfRule>
    <cfRule type="expression" dxfId="1" priority="936">
      <formula>IF(SUM(J20,P20,V20,AB20,AH20,AN20,AT20,AZ20)=0,1,0)</formula>
    </cfRule>
    <cfRule type="cellIs" dxfId="0" priority="937" operator="greaterThan">
      <formula>SUM(J20,P20,V20,AB20,AH20,AN20,AT20,AZ20)</formula>
    </cfRule>
    <cfRule type="cellIs" dxfId="3" priority="938" operator="greaterThan">
      <formula>SUM(IF(ISNUMBER(L20),K20,0),IF(ISNUMBER(R20),Q20,0),IF(ISNUMBER(X20),W20,0),IF(ISNUMBER(AD20),AC20,0),IF(ISNUMBER(AJ20),AI20,0),IF(ISNUMBER(AP20),AO20,0),IF(ISNUMBER(AV20),AU20,0),IF(ISNUMBER(BB20),BA20,0))</formula>
    </cfRule>
  </conditionalFormatting>
  <conditionalFormatting sqref="G21">
    <cfRule type="expression" dxfId="4" priority="939">
      <formula>AND(ISBLANK(F21),ISBLANK(N21),ISBLANK(T21),ISBLANK(Z21),ISBLANK(AF21),ISBLANK(AL21),ISBLANK(AR21),ISBLANK(AX21),ISBLANK(BD21))</formula>
    </cfRule>
    <cfRule type="expression" dxfId="1" priority="940">
      <formula>IF(SUM(J21,P21,V21,AB21,AH21,AN21,AT21,AZ21)=0,1,0)</formula>
    </cfRule>
    <cfRule type="cellIs" dxfId="0" priority="941" operator="greaterThan">
      <formula>SUM(J21,P21,V21,AB21,AH21,AN21,AT21,AZ21)</formula>
    </cfRule>
    <cfRule type="cellIs" dxfId="3" priority="942" operator="greaterThan">
      <formula>SUM(IF(ISNUMBER(L21),K21,0),IF(ISNUMBER(R21),Q21,0),IF(ISNUMBER(X21),W21,0),IF(ISNUMBER(AD21),AC21,0),IF(ISNUMBER(AJ21),AI21,0),IF(ISNUMBER(AP21),AO21,0),IF(ISNUMBER(AV21),AU21,0),IF(ISNUMBER(BB21),BA21,0))</formula>
    </cfRule>
  </conditionalFormatting>
  <conditionalFormatting sqref="G22">
    <cfRule type="expression" dxfId="4" priority="943">
      <formula>AND(ISBLANK(F22),ISBLANK(N22),ISBLANK(T22),ISBLANK(Z22),ISBLANK(AF22),ISBLANK(AL22),ISBLANK(AR22),ISBLANK(AX22),ISBLANK(BD22))</formula>
    </cfRule>
    <cfRule type="expression" dxfId="1" priority="944">
      <formula>IF(SUM(J22,P22,V22,AB22,AH22,AN22,AT22,AZ22)=0,1,0)</formula>
    </cfRule>
    <cfRule type="cellIs" dxfId="0" priority="945" operator="greaterThan">
      <formula>SUM(J22,P22,V22,AB22,AH22,AN22,AT22,AZ22)</formula>
    </cfRule>
    <cfRule type="cellIs" dxfId="3" priority="946" operator="greaterThan">
      <formula>SUM(IF(ISNUMBER(L22),K22,0),IF(ISNUMBER(R22),Q22,0),IF(ISNUMBER(X22),W22,0),IF(ISNUMBER(AD22),AC22,0),IF(ISNUMBER(AJ22),AI22,0),IF(ISNUMBER(AP22),AO22,0),IF(ISNUMBER(AV22),AU22,0),IF(ISNUMBER(BB22),BA22,0))</formula>
    </cfRule>
  </conditionalFormatting>
  <conditionalFormatting sqref="G23">
    <cfRule type="expression" dxfId="4" priority="947">
      <formula>AND(ISBLANK(F23),ISBLANK(N23),ISBLANK(T23),ISBLANK(Z23),ISBLANK(AF23),ISBLANK(AL23),ISBLANK(AR23),ISBLANK(AX23),ISBLANK(BD23))</formula>
    </cfRule>
    <cfRule type="expression" dxfId="1" priority="948">
      <formula>IF(SUM(J23,P23,V23,AB23,AH23,AN23,AT23,AZ23)=0,1,0)</formula>
    </cfRule>
    <cfRule type="cellIs" dxfId="0" priority="949" operator="greaterThan">
      <formula>SUM(J23,P23,V23,AB23,AH23,AN23,AT23,AZ23)</formula>
    </cfRule>
    <cfRule type="cellIs" dxfId="3" priority="950" operator="greaterThan">
      <formula>SUM(IF(ISNUMBER(L23),K23,0),IF(ISNUMBER(R23),Q23,0),IF(ISNUMBER(X23),W23,0),IF(ISNUMBER(AD23),AC23,0),IF(ISNUMBER(AJ23),AI23,0),IF(ISNUMBER(AP23),AO23,0),IF(ISNUMBER(AV23),AU23,0),IF(ISNUMBER(BB23),BA23,0))</formula>
    </cfRule>
  </conditionalFormatting>
  <conditionalFormatting sqref="G24">
    <cfRule type="expression" dxfId="4" priority="951">
      <formula>AND(ISBLANK(F24),ISBLANK(N24),ISBLANK(T24),ISBLANK(Z24),ISBLANK(AF24),ISBLANK(AL24),ISBLANK(AR24),ISBLANK(AX24),ISBLANK(BD24))</formula>
    </cfRule>
    <cfRule type="expression" dxfId="1" priority="952">
      <formula>IF(SUM(J24,P24,V24,AB24,AH24,AN24,AT24,AZ24)=0,1,0)</formula>
    </cfRule>
    <cfRule type="cellIs" dxfId="0" priority="953" operator="greaterThan">
      <formula>SUM(J24,P24,V24,AB24,AH24,AN24,AT24,AZ24)</formula>
    </cfRule>
    <cfRule type="cellIs" dxfId="3" priority="954" operator="greaterThan">
      <formula>SUM(IF(ISNUMBER(L24),K24,0),IF(ISNUMBER(R24),Q24,0),IF(ISNUMBER(X24),W24,0),IF(ISNUMBER(AD24),AC24,0),IF(ISNUMBER(AJ24),AI24,0),IF(ISNUMBER(AP24),AO24,0),IF(ISNUMBER(AV24),AU24,0),IF(ISNUMBER(BB24),BA24,0))</formula>
    </cfRule>
  </conditionalFormatting>
  <conditionalFormatting sqref="G25">
    <cfRule type="expression" dxfId="4" priority="955">
      <formula>AND(ISBLANK(F25),ISBLANK(N25),ISBLANK(T25),ISBLANK(Z25),ISBLANK(AF25),ISBLANK(AL25),ISBLANK(AR25),ISBLANK(AX25),ISBLANK(BD25))</formula>
    </cfRule>
    <cfRule type="expression" dxfId="1" priority="956">
      <formula>IF(SUM(J25,P25,V25,AB25,AH25,AN25,AT25,AZ25)=0,1,0)</formula>
    </cfRule>
    <cfRule type="cellIs" dxfId="0" priority="957" operator="greaterThan">
      <formula>SUM(J25,P25,V25,AB25,AH25,AN25,AT25,AZ25)</formula>
    </cfRule>
    <cfRule type="cellIs" dxfId="3" priority="958" operator="greaterThan">
      <formula>SUM(IF(ISNUMBER(L25),K25,0),IF(ISNUMBER(R25),Q25,0),IF(ISNUMBER(X25),W25,0),IF(ISNUMBER(AD25),AC25,0),IF(ISNUMBER(AJ25),AI25,0),IF(ISNUMBER(AP25),AO25,0),IF(ISNUMBER(AV25),AU25,0),IF(ISNUMBER(BB25),BA25,0))</formula>
    </cfRule>
  </conditionalFormatting>
  <conditionalFormatting sqref="G26">
    <cfRule type="expression" dxfId="4" priority="959">
      <formula>AND(ISBLANK(F26),ISBLANK(N26),ISBLANK(T26),ISBLANK(Z26),ISBLANK(AF26),ISBLANK(AL26),ISBLANK(AR26),ISBLANK(AX26),ISBLANK(BD26))</formula>
    </cfRule>
    <cfRule type="expression" dxfId="1" priority="960">
      <formula>IF(SUM(J26,P26,V26,AB26,AH26,AN26,AT26,AZ26)=0,1,0)</formula>
    </cfRule>
    <cfRule type="cellIs" dxfId="0" priority="961" operator="greaterThan">
      <formula>SUM(J26,P26,V26,AB26,AH26,AN26,AT26,AZ26)</formula>
    </cfRule>
    <cfRule type="cellIs" dxfId="3" priority="962" operator="greaterThan">
      <formula>SUM(IF(ISNUMBER(L26),K26,0),IF(ISNUMBER(R26),Q26,0),IF(ISNUMBER(X26),W26,0),IF(ISNUMBER(AD26),AC26,0),IF(ISNUMBER(AJ26),AI26,0),IF(ISNUMBER(AP26),AO26,0),IF(ISNUMBER(AV26),AU26,0),IF(ISNUMBER(BB26),BA26,0))</formula>
    </cfRule>
  </conditionalFormatting>
  <conditionalFormatting sqref="G27">
    <cfRule type="expression" dxfId="4" priority="963">
      <formula>AND(ISBLANK(F27),ISBLANK(N27),ISBLANK(T27),ISBLANK(Z27),ISBLANK(AF27),ISBLANK(AL27),ISBLANK(AR27),ISBLANK(AX27),ISBLANK(BD27))</formula>
    </cfRule>
    <cfRule type="expression" dxfId="1" priority="964">
      <formula>IF(SUM(J27,P27,V27,AB27,AH27,AN27,AT27,AZ27)=0,1,0)</formula>
    </cfRule>
    <cfRule type="cellIs" dxfId="0" priority="965" operator="greaterThan">
      <formula>SUM(J27,P27,V27,AB27,AH27,AN27,AT27,AZ27)</formula>
    </cfRule>
    <cfRule type="cellIs" dxfId="3" priority="966" operator="greaterThan">
      <formula>SUM(IF(ISNUMBER(L27),K27,0),IF(ISNUMBER(R27),Q27,0),IF(ISNUMBER(X27),W27,0),IF(ISNUMBER(AD27),AC27,0),IF(ISNUMBER(AJ27),AI27,0),IF(ISNUMBER(AP27),AO27,0),IF(ISNUMBER(AV27),AU27,0),IF(ISNUMBER(BB27),BA27,0))</formula>
    </cfRule>
  </conditionalFormatting>
  <conditionalFormatting sqref="G28">
    <cfRule type="expression" dxfId="4" priority="967">
      <formula>AND(ISBLANK(F28),ISBLANK(N28),ISBLANK(T28),ISBLANK(Z28),ISBLANK(AF28),ISBLANK(AL28),ISBLANK(AR28),ISBLANK(AX28),ISBLANK(BD28))</formula>
    </cfRule>
    <cfRule type="expression" dxfId="1" priority="968">
      <formula>IF(SUM(J28,P28,V28,AB28,AH28,AN28,AT28,AZ28)=0,1,0)</formula>
    </cfRule>
    <cfRule type="cellIs" dxfId="0" priority="969" operator="greaterThan">
      <formula>SUM(J28,P28,V28,AB28,AH28,AN28,AT28,AZ28)</formula>
    </cfRule>
    <cfRule type="cellIs" dxfId="3" priority="970" operator="greaterThan">
      <formula>SUM(IF(ISNUMBER(L28),K28,0),IF(ISNUMBER(R28),Q28,0),IF(ISNUMBER(X28),W28,0),IF(ISNUMBER(AD28),AC28,0),IF(ISNUMBER(AJ28),AI28,0),IF(ISNUMBER(AP28),AO28,0),IF(ISNUMBER(AV28),AU28,0),IF(ISNUMBER(BB28),BA28,0))</formula>
    </cfRule>
  </conditionalFormatting>
  <conditionalFormatting sqref="G29">
    <cfRule type="expression" dxfId="4" priority="971">
      <formula>AND(ISBLANK(F29),ISBLANK(N29),ISBLANK(T29),ISBLANK(Z29),ISBLANK(AF29),ISBLANK(AL29),ISBLANK(AR29),ISBLANK(AX29),ISBLANK(BD29))</formula>
    </cfRule>
    <cfRule type="expression" dxfId="1" priority="972">
      <formula>IF(SUM(J29,P29,V29,AB29,AH29,AN29,AT29,AZ29)=0,1,0)</formula>
    </cfRule>
    <cfRule type="cellIs" dxfId="0" priority="973" operator="greaterThan">
      <formula>SUM(J29,P29,V29,AB29,AH29,AN29,AT29,AZ29)</formula>
    </cfRule>
    <cfRule type="cellIs" dxfId="3" priority="974" operator="greaterThan">
      <formula>SUM(IF(ISNUMBER(L29),K29,0),IF(ISNUMBER(R29),Q29,0),IF(ISNUMBER(X29),W29,0),IF(ISNUMBER(AD29),AC29,0),IF(ISNUMBER(AJ29),AI29,0),IF(ISNUMBER(AP29),AO29,0),IF(ISNUMBER(AV29),AU29,0),IF(ISNUMBER(BB29),BA29,0))</formula>
    </cfRule>
  </conditionalFormatting>
  <conditionalFormatting sqref="G30">
    <cfRule type="expression" dxfId="4" priority="975">
      <formula>AND(ISBLANK(F30),ISBLANK(N30),ISBLANK(T30),ISBLANK(Z30),ISBLANK(AF30),ISBLANK(AL30),ISBLANK(AR30),ISBLANK(AX30),ISBLANK(BD30))</formula>
    </cfRule>
    <cfRule type="expression" dxfId="1" priority="976">
      <formula>IF(SUM(J30,P30,V30,AB30,AH30,AN30,AT30,AZ30)=0,1,0)</formula>
    </cfRule>
    <cfRule type="cellIs" dxfId="0" priority="977" operator="greaterThan">
      <formula>SUM(J30,P30,V30,AB30,AH30,AN30,AT30,AZ30)</formula>
    </cfRule>
    <cfRule type="cellIs" dxfId="3" priority="978" operator="greaterThan">
      <formula>SUM(IF(ISNUMBER(L30),K30,0),IF(ISNUMBER(R30),Q30,0),IF(ISNUMBER(X30),W30,0),IF(ISNUMBER(AD30),AC30,0),IF(ISNUMBER(AJ30),AI30,0),IF(ISNUMBER(AP30),AO30,0),IF(ISNUMBER(AV30),AU30,0),IF(ISNUMBER(BB30),BA30,0))</formula>
    </cfRule>
  </conditionalFormatting>
  <conditionalFormatting sqref="G31">
    <cfRule type="expression" dxfId="4" priority="979">
      <formula>AND(ISBLANK(F31),ISBLANK(N31),ISBLANK(T31),ISBLANK(Z31),ISBLANK(AF31),ISBLANK(AL31),ISBLANK(AR31),ISBLANK(AX31),ISBLANK(BD31))</formula>
    </cfRule>
    <cfRule type="expression" dxfId="1" priority="980">
      <formula>IF(SUM(J31,P31,V31,AB31,AH31,AN31,AT31,AZ31)=0,1,0)</formula>
    </cfRule>
    <cfRule type="cellIs" dxfId="0" priority="981" operator="greaterThan">
      <formula>SUM(J31,P31,V31,AB31,AH31,AN31,AT31,AZ31)</formula>
    </cfRule>
    <cfRule type="cellIs" dxfId="3" priority="982" operator="greaterThan">
      <formula>SUM(IF(ISNUMBER(L31),K31,0),IF(ISNUMBER(R31),Q31,0),IF(ISNUMBER(X31),W31,0),IF(ISNUMBER(AD31),AC31,0),IF(ISNUMBER(AJ31),AI31,0),IF(ISNUMBER(AP31),AO31,0),IF(ISNUMBER(AV31),AU31,0),IF(ISNUMBER(BB31),BA31,0))</formula>
    </cfRule>
  </conditionalFormatting>
  <conditionalFormatting sqref="G32">
    <cfRule type="expression" dxfId="4" priority="983">
      <formula>AND(ISBLANK(F32),ISBLANK(N32),ISBLANK(T32),ISBLANK(Z32),ISBLANK(AF32),ISBLANK(AL32),ISBLANK(AR32),ISBLANK(AX32),ISBLANK(BD32))</formula>
    </cfRule>
    <cfRule type="expression" dxfId="1" priority="984">
      <formula>IF(SUM(J32,P32,V32,AB32,AH32,AN32,AT32,AZ32)=0,1,0)</formula>
    </cfRule>
    <cfRule type="cellIs" dxfId="0" priority="985" operator="greaterThan">
      <formula>SUM(J32,P32,V32,AB32,AH32,AN32,AT32,AZ32)</formula>
    </cfRule>
    <cfRule type="cellIs" dxfId="3" priority="986" operator="greaterThan">
      <formula>SUM(IF(ISNUMBER(L32),K32,0),IF(ISNUMBER(R32),Q32,0),IF(ISNUMBER(X32),W32,0),IF(ISNUMBER(AD32),AC32,0),IF(ISNUMBER(AJ32),AI32,0),IF(ISNUMBER(AP32),AO32,0),IF(ISNUMBER(AV32),AU32,0),IF(ISNUMBER(BB32),BA32,0))</formula>
    </cfRule>
  </conditionalFormatting>
  <conditionalFormatting sqref="G33">
    <cfRule type="expression" dxfId="4" priority="987">
      <formula>AND(ISBLANK(F33),ISBLANK(N33),ISBLANK(T33),ISBLANK(Z33),ISBLANK(AF33),ISBLANK(AL33),ISBLANK(AR33),ISBLANK(AX33),ISBLANK(BD33))</formula>
    </cfRule>
    <cfRule type="expression" dxfId="1" priority="988">
      <formula>IF(SUM(J33,P33,V33,AB33,AH33,AN33,AT33,AZ33)=0,1,0)</formula>
    </cfRule>
    <cfRule type="cellIs" dxfId="0" priority="989" operator="greaterThan">
      <formula>SUM(J33,P33,V33,AB33,AH33,AN33,AT33,AZ33)</formula>
    </cfRule>
    <cfRule type="cellIs" dxfId="3" priority="990" operator="greaterThan">
      <formula>SUM(IF(ISNUMBER(L33),K33,0),IF(ISNUMBER(R33),Q33,0),IF(ISNUMBER(X33),W33,0),IF(ISNUMBER(AD33),AC33,0),IF(ISNUMBER(AJ33),AI33,0),IF(ISNUMBER(AP33),AO33,0),IF(ISNUMBER(AV33),AU33,0),IF(ISNUMBER(BB33),BA33,0))</formula>
    </cfRule>
  </conditionalFormatting>
  <conditionalFormatting sqref="G34">
    <cfRule type="expression" dxfId="4" priority="991">
      <formula>AND(ISBLANK(F34),ISBLANK(N34),ISBLANK(T34),ISBLANK(Z34),ISBLANK(AF34),ISBLANK(AL34),ISBLANK(AR34),ISBLANK(AX34),ISBLANK(BD34))</formula>
    </cfRule>
    <cfRule type="expression" dxfId="1" priority="992">
      <formula>IF(SUM(J34,P34,V34,AB34,AH34,AN34,AT34,AZ34)=0,1,0)</formula>
    </cfRule>
    <cfRule type="cellIs" dxfId="0" priority="993" operator="greaterThan">
      <formula>SUM(J34,P34,V34,AB34,AH34,AN34,AT34,AZ34)</formula>
    </cfRule>
    <cfRule type="cellIs" dxfId="3" priority="994" operator="greaterThan">
      <formula>SUM(IF(ISNUMBER(L34),K34,0),IF(ISNUMBER(R34),Q34,0),IF(ISNUMBER(X34),W34,0),IF(ISNUMBER(AD34),AC34,0),IF(ISNUMBER(AJ34),AI34,0),IF(ISNUMBER(AP34),AO34,0),IF(ISNUMBER(AV34),AU34,0),IF(ISNUMBER(BB34),BA34,0))</formula>
    </cfRule>
  </conditionalFormatting>
  <conditionalFormatting sqref="G7">
    <cfRule type="expression" dxfId="4" priority="883">
      <formula>AND(ISBLANK(F7),ISBLANK(N7),ISBLANK(T7),ISBLANK(Z7),ISBLANK(AF7),ISBLANK(AL7),ISBLANK(AR7),ISBLANK(AX7),ISBLANK(BD7))</formula>
    </cfRule>
    <cfRule type="expression" dxfId="1" priority="884">
      <formula>IF(SUM(J7,P7,V7,AB7,AH7,AN7,AT7,AZ7)=0,1,0)</formula>
    </cfRule>
    <cfRule type="cellIs" dxfId="0" priority="885" operator="greaterThan">
      <formula>SUM(J7,P7,V7,AB7,AH7,AN7,AT7,AZ7)</formula>
    </cfRule>
    <cfRule type="cellIs" dxfId="3" priority="886" operator="greaterThan">
      <formula>SUM(IF(ISNUMBER(L7),K7,0),IF(ISNUMBER(R7),Q7,0),IF(ISNUMBER(X7),W7,0),IF(ISNUMBER(AD7),AC7,0),IF(ISNUMBER(AJ7),AI7,0),IF(ISNUMBER(AP7),AO7,0),IF(ISNUMBER(AV7),AU7,0),IF(ISNUMBER(BB7),BA7,0))</formula>
    </cfRule>
  </conditionalFormatting>
  <conditionalFormatting sqref="G8">
    <cfRule type="expression" dxfId="4" priority="887">
      <formula>AND(ISBLANK(F8),ISBLANK(N8),ISBLANK(T8),ISBLANK(Z8),ISBLANK(AF8),ISBLANK(AL8),ISBLANK(AR8),ISBLANK(AX8),ISBLANK(BD8))</formula>
    </cfRule>
    <cfRule type="expression" dxfId="1" priority="888">
      <formula>IF(SUM(J8,P8,V8,AB8,AH8,AN8,AT8,AZ8)=0,1,0)</formula>
    </cfRule>
    <cfRule type="cellIs" dxfId="0" priority="889" operator="greaterThan">
      <formula>SUM(J8,P8,V8,AB8,AH8,AN8,AT8,AZ8)</formula>
    </cfRule>
    <cfRule type="cellIs" dxfId="3" priority="890" operator="greaterThan">
      <formula>SUM(IF(ISNUMBER(L8),K8,0),IF(ISNUMBER(R8),Q8,0),IF(ISNUMBER(X8),W8,0),IF(ISNUMBER(AD8),AC8,0),IF(ISNUMBER(AJ8),AI8,0),IF(ISNUMBER(AP8),AO8,0),IF(ISNUMBER(AV8),AU8,0),IF(ISNUMBER(BB8),BA8,0))</formula>
    </cfRule>
  </conditionalFormatting>
  <conditionalFormatting sqref="G9">
    <cfRule type="expression" dxfId="4" priority="891">
      <formula>AND(ISBLANK(F9),ISBLANK(N9),ISBLANK(T9),ISBLANK(Z9),ISBLANK(AF9),ISBLANK(AL9),ISBLANK(AR9),ISBLANK(AX9),ISBLANK(BD9))</formula>
    </cfRule>
    <cfRule type="expression" dxfId="1" priority="892">
      <formula>IF(SUM(J9,P9,V9,AB9,AH9,AN9,AT9,AZ9)=0,1,0)</formula>
    </cfRule>
    <cfRule type="cellIs" dxfId="0" priority="893" operator="greaterThan">
      <formula>SUM(J9,P9,V9,AB9,AH9,AN9,AT9,AZ9)</formula>
    </cfRule>
    <cfRule type="cellIs" dxfId="3" priority="894" operator="greaterThan">
      <formula>SUM(IF(ISNUMBER(L9),K9,0),IF(ISNUMBER(R9),Q9,0),IF(ISNUMBER(X9),W9,0),IF(ISNUMBER(AD9),AC9,0),IF(ISNUMBER(AJ9),AI9,0),IF(ISNUMBER(AP9),AO9,0),IF(ISNUMBER(AV9),AU9,0),IF(ISNUMBER(BB9),BA9,0))</formula>
    </cfRule>
  </conditionalFormatting>
  <conditionalFormatting sqref="J10">
    <cfRule type="cellIs" dxfId="0" priority="9" operator="lessThan">
      <formula>G10</formula>
    </cfRule>
  </conditionalFormatting>
  <conditionalFormatting sqref="J12">
    <cfRule type="cellIs" dxfId="0" priority="17" operator="lessThan">
      <formula>G12</formula>
    </cfRule>
  </conditionalFormatting>
  <conditionalFormatting sqref="J13">
    <cfRule type="cellIs" dxfId="0" priority="21" operator="lessThan">
      <formula>G13</formula>
    </cfRule>
  </conditionalFormatting>
  <conditionalFormatting sqref="J14">
    <cfRule type="cellIs" dxfId="0" priority="29" operator="lessThan">
      <formula>G14</formula>
    </cfRule>
  </conditionalFormatting>
  <conditionalFormatting sqref="J15">
    <cfRule type="cellIs" dxfId="0" priority="37" operator="lessThan">
      <formula>G15</formula>
    </cfRule>
  </conditionalFormatting>
  <conditionalFormatting sqref="J17">
    <cfRule type="cellIs" dxfId="0" priority="41" operator="lessThan">
      <formula>G17</formula>
    </cfRule>
  </conditionalFormatting>
  <conditionalFormatting sqref="J18">
    <cfRule type="cellIs" dxfId="0" priority="49" operator="lessThan">
      <formula>G18</formula>
    </cfRule>
  </conditionalFormatting>
  <conditionalFormatting sqref="J20">
    <cfRule type="cellIs" dxfId="0" priority="57" operator="lessThan">
      <formula>G20</formula>
    </cfRule>
  </conditionalFormatting>
  <conditionalFormatting sqref="J21">
    <cfRule type="cellIs" dxfId="0" priority="61" operator="lessThan">
      <formula>G21</formula>
    </cfRule>
  </conditionalFormatting>
  <conditionalFormatting sqref="J22">
    <cfRule type="cellIs" dxfId="0" priority="65" operator="lessThan">
      <formula>G22</formula>
    </cfRule>
  </conditionalFormatting>
  <conditionalFormatting sqref="J23">
    <cfRule type="cellIs" dxfId="0" priority="73" operator="lessThan">
      <formula>G23</formula>
    </cfRule>
  </conditionalFormatting>
  <conditionalFormatting sqref="J24">
    <cfRule type="cellIs" dxfId="0" priority="77" operator="lessThan">
      <formula>G24</formula>
    </cfRule>
  </conditionalFormatting>
  <conditionalFormatting sqref="J25">
    <cfRule type="cellIs" dxfId="0" priority="85" operator="lessThan">
      <formula>G25</formula>
    </cfRule>
  </conditionalFormatting>
  <conditionalFormatting sqref="J26">
    <cfRule type="cellIs" dxfId="0" priority="93" operator="lessThan">
      <formula>G26</formula>
    </cfRule>
  </conditionalFormatting>
  <conditionalFormatting sqref="J27">
    <cfRule type="cellIs" dxfId="0" priority="101" operator="lessThan">
      <formula>G27</formula>
    </cfRule>
  </conditionalFormatting>
  <conditionalFormatting sqref="J28">
    <cfRule type="cellIs" dxfId="0" priority="109" operator="lessThan">
      <formula>G28</formula>
    </cfRule>
  </conditionalFormatting>
  <conditionalFormatting sqref="J29">
    <cfRule type="cellIs" dxfId="0" priority="117" operator="lessThan">
      <formula>G29</formula>
    </cfRule>
  </conditionalFormatting>
  <conditionalFormatting sqref="J30">
    <cfRule type="cellIs" dxfId="0" priority="121" operator="lessThan">
      <formula>G30</formula>
    </cfRule>
  </conditionalFormatting>
  <conditionalFormatting sqref="J31">
    <cfRule type="cellIs" dxfId="0" priority="125" operator="lessThan">
      <formula>G31</formula>
    </cfRule>
  </conditionalFormatting>
  <conditionalFormatting sqref="J32">
    <cfRule type="cellIs" dxfId="0" priority="129" operator="lessThan">
      <formula>G32</formula>
    </cfRule>
  </conditionalFormatting>
  <conditionalFormatting sqref="J7">
    <cfRule type="cellIs" dxfId="0" priority="1" operator="lessThan">
      <formula>G7</formula>
    </cfRule>
  </conditionalFormatting>
  <conditionalFormatting sqref="J8">
    <cfRule type="cellIs" dxfId="0" priority="5" operator="lessThan">
      <formula>G8</formula>
    </cfRule>
  </conditionalFormatting>
  <conditionalFormatting sqref="K10">
    <cfRule type="expression" dxfId="3" priority="10">
      <formula>AND(K10&gt;0,MOD(K10,M10)&lt;&gt;0)</formula>
    </cfRule>
    <cfRule type="expression" dxfId="1" priority="11">
      <formula>AND(NOT(ISBLANK(K10)),OR(J10="NonStk",K10&gt;J10))</formula>
    </cfRule>
  </conditionalFormatting>
  <conditionalFormatting sqref="K12">
    <cfRule type="expression" dxfId="1" priority="18">
      <formula>AND(NOT(ISBLANK(K12)),OR(J12="NonStk",K12&gt;J12))</formula>
    </cfRule>
  </conditionalFormatting>
  <conditionalFormatting sqref="K13">
    <cfRule type="expression" dxfId="3" priority="22">
      <formula>AND(K13&gt;0,MOD(K13,M13)&lt;&gt;0)</formula>
    </cfRule>
    <cfRule type="expression" dxfId="1" priority="23">
      <formula>AND(NOT(ISBLANK(K13)),OR(J13="NonStk",K13&gt;J13))</formula>
    </cfRule>
  </conditionalFormatting>
  <conditionalFormatting sqref="K14">
    <cfRule type="expression" dxfId="3" priority="30">
      <formula>AND(K14&gt;0,MOD(K14,M14)&lt;&gt;0)</formula>
    </cfRule>
    <cfRule type="expression" dxfId="1" priority="31">
      <formula>AND(NOT(ISBLANK(K14)),OR(J14="NonStk",K14&gt;J14))</formula>
    </cfRule>
  </conditionalFormatting>
  <conditionalFormatting sqref="K15">
    <cfRule type="expression" dxfId="1" priority="38">
      <formula>AND(NOT(ISBLANK(K15)),OR(J15="NonStk",K15&gt;J15))</formula>
    </cfRule>
  </conditionalFormatting>
  <conditionalFormatting sqref="K17">
    <cfRule type="expression" dxfId="3" priority="42">
      <formula>AND(K17&gt;0,MOD(K17,M17)&lt;&gt;0)</formula>
    </cfRule>
    <cfRule type="expression" dxfId="1" priority="43">
      <formula>AND(NOT(ISBLANK(K17)),OR(J17="NonStk",K17&gt;J17))</formula>
    </cfRule>
  </conditionalFormatting>
  <conditionalFormatting sqref="K18">
    <cfRule type="expression" dxfId="3" priority="50">
      <formula>AND(K18&gt;0,MOD(K18,M18)&lt;&gt;0)</formula>
    </cfRule>
    <cfRule type="expression" dxfId="1" priority="51">
      <formula>AND(NOT(ISBLANK(K18)),OR(J18="NonStk",K18&gt;J18))</formula>
    </cfRule>
  </conditionalFormatting>
  <conditionalFormatting sqref="K20">
    <cfRule type="expression" dxfId="1" priority="58">
      <formula>AND(NOT(ISBLANK(K20)),OR(J20="NonStk",K20&gt;J20))</formula>
    </cfRule>
  </conditionalFormatting>
  <conditionalFormatting sqref="K21">
    <cfRule type="expression" dxfId="1" priority="62">
      <formula>AND(NOT(ISBLANK(K21)),OR(J21="NonStk",K21&gt;J21))</formula>
    </cfRule>
  </conditionalFormatting>
  <conditionalFormatting sqref="K22">
    <cfRule type="expression" dxfId="3" priority="66">
      <formula>AND(K22&gt;0,MOD(K22,M22)&lt;&gt;0)</formula>
    </cfRule>
    <cfRule type="expression" dxfId="1" priority="67">
      <formula>AND(NOT(ISBLANK(K22)),OR(J22="NonStk",K22&gt;J22))</formula>
    </cfRule>
  </conditionalFormatting>
  <conditionalFormatting sqref="K23">
    <cfRule type="expression" dxfId="1" priority="74">
      <formula>AND(NOT(ISBLANK(K23)),OR(J23="NonStk",K23&gt;J23))</formula>
    </cfRule>
  </conditionalFormatting>
  <conditionalFormatting sqref="K24">
    <cfRule type="expression" dxfId="3" priority="78">
      <formula>AND(K24&gt;0,MOD(K24,M24)&lt;&gt;0)</formula>
    </cfRule>
    <cfRule type="expression" dxfId="1" priority="79">
      <formula>AND(NOT(ISBLANK(K24)),OR(J24="NonStk",K24&gt;J24))</formula>
    </cfRule>
  </conditionalFormatting>
  <conditionalFormatting sqref="K25">
    <cfRule type="expression" dxfId="3" priority="86">
      <formula>AND(K25&gt;0,MOD(K25,M25)&lt;&gt;0)</formula>
    </cfRule>
    <cfRule type="expression" dxfId="1" priority="87">
      <formula>AND(NOT(ISBLANK(K25)),OR(J25="NonStk",K25&gt;J25))</formula>
    </cfRule>
  </conditionalFormatting>
  <conditionalFormatting sqref="K26">
    <cfRule type="expression" dxfId="3" priority="94">
      <formula>AND(K26&gt;0,MOD(K26,M26)&lt;&gt;0)</formula>
    </cfRule>
    <cfRule type="expression" dxfId="1" priority="95">
      <formula>AND(NOT(ISBLANK(K26)),OR(J26="NonStk",K26&gt;J26))</formula>
    </cfRule>
  </conditionalFormatting>
  <conditionalFormatting sqref="K27">
    <cfRule type="expression" dxfId="3" priority="102">
      <formula>AND(K27&gt;0,MOD(K27,M27)&lt;&gt;0)</formula>
    </cfRule>
    <cfRule type="expression" dxfId="1" priority="103">
      <formula>AND(NOT(ISBLANK(K27)),OR(J27="NonStk",K27&gt;J27))</formula>
    </cfRule>
  </conditionalFormatting>
  <conditionalFormatting sqref="K28">
    <cfRule type="expression" dxfId="3" priority="110">
      <formula>AND(K28&gt;0,MOD(K28,M28)&lt;&gt;0)</formula>
    </cfRule>
    <cfRule type="expression" dxfId="1" priority="111">
      <formula>AND(NOT(ISBLANK(K28)),OR(J28="NonStk",K28&gt;J28))</formula>
    </cfRule>
  </conditionalFormatting>
  <conditionalFormatting sqref="K29">
    <cfRule type="expression" dxfId="1" priority="118">
      <formula>AND(NOT(ISBLANK(K29)),OR(J29="NonStk",K29&gt;J29))</formula>
    </cfRule>
  </conditionalFormatting>
  <conditionalFormatting sqref="K30">
    <cfRule type="expression" dxfId="1" priority="122">
      <formula>AND(NOT(ISBLANK(K30)),OR(J30="NonStk",K30&gt;J30))</formula>
    </cfRule>
  </conditionalFormatting>
  <conditionalFormatting sqref="K31">
    <cfRule type="expression" dxfId="1" priority="126">
      <formula>AND(NOT(ISBLANK(K31)),OR(J31="NonStk",K31&gt;J31))</formula>
    </cfRule>
  </conditionalFormatting>
  <conditionalFormatting sqref="K32">
    <cfRule type="expression" dxfId="1" priority="130">
      <formula>AND(NOT(ISBLANK(K32)),OR(J32="NonStk",K32&gt;J32))</formula>
    </cfRule>
  </conditionalFormatting>
  <conditionalFormatting sqref="K7">
    <cfRule type="expression" dxfId="1" priority="2">
      <formula>AND(NOT(ISBLANK(K7)),OR(J7="NonStk",K7&gt;J7))</formula>
    </cfRule>
  </conditionalFormatting>
  <conditionalFormatting sqref="K8">
    <cfRule type="expression" dxfId="1" priority="6">
      <formula>AND(NOT(ISBLANK(K8)),OR(J8="NonStk",K8&gt;J8))</formula>
    </cfRule>
  </conditionalFormatting>
  <conditionalFormatting sqref="L10">
    <cfRule type="cellIs" dxfId="2" priority="13" operator="lessThanOrEqual">
      <formula>H10</formula>
    </cfRule>
    <cfRule type="expression" dxfId="3" priority="14">
      <formula>AND(G10&lt;2500,K10&lt;2500)</formula>
    </cfRule>
  </conditionalFormatting>
  <conditionalFormatting sqref="L12">
    <cfRule type="cellIs" dxfId="2" priority="20" operator="lessThanOrEqual">
      <formula>H12</formula>
    </cfRule>
  </conditionalFormatting>
  <conditionalFormatting sqref="L13">
    <cfRule type="cellIs" dxfId="2" priority="25" operator="lessThanOrEqual">
      <formula>H13</formula>
    </cfRule>
    <cfRule type="expression" dxfId="3" priority="26">
      <formula>AND(G13&lt;3000,K13&lt;3000)</formula>
    </cfRule>
  </conditionalFormatting>
  <conditionalFormatting sqref="L14">
    <cfRule type="cellIs" dxfId="2" priority="33" operator="lessThanOrEqual">
      <formula>H14</formula>
    </cfRule>
    <cfRule type="expression" dxfId="3" priority="34">
      <formula>AND(G14&lt;200,K14&lt;200)</formula>
    </cfRule>
  </conditionalFormatting>
  <conditionalFormatting sqref="L15">
    <cfRule type="cellIs" dxfId="2" priority="40" operator="lessThanOrEqual">
      <formula>H15</formula>
    </cfRule>
  </conditionalFormatting>
  <conditionalFormatting sqref="L17">
    <cfRule type="cellIs" dxfId="2" priority="45" operator="lessThanOrEqual">
      <formula>H17</formula>
    </cfRule>
    <cfRule type="expression" dxfId="3" priority="46">
      <formula>AND(G17&lt;1500,K17&lt;1500)</formula>
    </cfRule>
  </conditionalFormatting>
  <conditionalFormatting sqref="L18">
    <cfRule type="cellIs" dxfId="2" priority="53" operator="lessThanOrEqual">
      <formula>H18</formula>
    </cfRule>
    <cfRule type="expression" dxfId="3" priority="54">
      <formula>AND(G18&lt;1000,K18&lt;1000)</formula>
    </cfRule>
  </conditionalFormatting>
  <conditionalFormatting sqref="L20">
    <cfRule type="cellIs" dxfId="2" priority="60" operator="lessThanOrEqual">
      <formula>H20</formula>
    </cfRule>
  </conditionalFormatting>
  <conditionalFormatting sqref="L21">
    <cfRule type="cellIs" dxfId="2" priority="64" operator="lessThanOrEqual">
      <formula>H21</formula>
    </cfRule>
  </conditionalFormatting>
  <conditionalFormatting sqref="L22">
    <cfRule type="cellIs" dxfId="2" priority="69" operator="lessThanOrEqual">
      <formula>H22</formula>
    </cfRule>
    <cfRule type="expression" dxfId="3" priority="70">
      <formula>AND(G22&lt;50000,K22&lt;50000)</formula>
    </cfRule>
  </conditionalFormatting>
  <conditionalFormatting sqref="L23">
    <cfRule type="cellIs" dxfId="2" priority="76" operator="lessThanOrEqual">
      <formula>H23</formula>
    </cfRule>
  </conditionalFormatting>
  <conditionalFormatting sqref="L24">
    <cfRule type="cellIs" dxfId="2" priority="81" operator="lessThanOrEqual">
      <formula>H24</formula>
    </cfRule>
    <cfRule type="expression" dxfId="3" priority="82">
      <formula>AND(G24&lt;50000,K24&lt;50000)</formula>
    </cfRule>
  </conditionalFormatting>
  <conditionalFormatting sqref="L25">
    <cfRule type="cellIs" dxfId="2" priority="89" operator="lessThanOrEqual">
      <formula>H25</formula>
    </cfRule>
    <cfRule type="expression" dxfId="3" priority="90">
      <formula>AND(G25&lt;50000,K25&lt;50000)</formula>
    </cfRule>
  </conditionalFormatting>
  <conditionalFormatting sqref="L26">
    <cfRule type="cellIs" dxfId="2" priority="97" operator="lessThanOrEqual">
      <formula>H26</formula>
    </cfRule>
    <cfRule type="expression" dxfId="3" priority="98">
      <formula>AND(G26&lt;50000,K26&lt;50000)</formula>
    </cfRule>
  </conditionalFormatting>
  <conditionalFormatting sqref="L27">
    <cfRule type="cellIs" dxfId="2" priority="105" operator="lessThanOrEqual">
      <formula>H27</formula>
    </cfRule>
    <cfRule type="expression" dxfId="3" priority="106">
      <formula>AND(G27&lt;50000,K27&lt;50000)</formula>
    </cfRule>
  </conditionalFormatting>
  <conditionalFormatting sqref="L28">
    <cfRule type="cellIs" dxfId="2" priority="113" operator="lessThanOrEqual">
      <formula>H28</formula>
    </cfRule>
    <cfRule type="expression" dxfId="3" priority="114">
      <formula>AND(G28&lt;5000,K28&lt;5000)</formula>
    </cfRule>
  </conditionalFormatting>
  <conditionalFormatting sqref="L29">
    <cfRule type="cellIs" dxfId="2" priority="120" operator="lessThanOrEqual">
      <formula>H29</formula>
    </cfRule>
  </conditionalFormatting>
  <conditionalFormatting sqref="L30">
    <cfRule type="cellIs" dxfId="2" priority="124" operator="lessThanOrEqual">
      <formula>H30</formula>
    </cfRule>
  </conditionalFormatting>
  <conditionalFormatting sqref="L31">
    <cfRule type="cellIs" dxfId="2" priority="128" operator="lessThanOrEqual">
      <formula>H31</formula>
    </cfRule>
  </conditionalFormatting>
  <conditionalFormatting sqref="L32">
    <cfRule type="cellIs" dxfId="2" priority="132" operator="lessThanOrEqual">
      <formula>H32</formula>
    </cfRule>
  </conditionalFormatting>
  <conditionalFormatting sqref="L7">
    <cfRule type="cellIs" dxfId="2" priority="4" operator="lessThanOrEqual">
      <formula>H7</formula>
    </cfRule>
  </conditionalFormatting>
  <conditionalFormatting sqref="L8">
    <cfRule type="cellIs" dxfId="2" priority="8" operator="lessThanOrEqual">
      <formula>H8</formula>
    </cfRule>
  </conditionalFormatting>
  <conditionalFormatting sqref="M10">
    <cfRule type="expression" dxfId="3" priority="15">
      <formula>AND(G10&lt;2500,K10&lt;2500)</formula>
    </cfRule>
  </conditionalFormatting>
  <conditionalFormatting sqref="M13">
    <cfRule type="expression" dxfId="3" priority="27">
      <formula>AND(G13&lt;3000,K13&lt;3000)</formula>
    </cfRule>
  </conditionalFormatting>
  <conditionalFormatting sqref="M14">
    <cfRule type="expression" dxfId="3" priority="35">
      <formula>AND(G14&lt;200,K14&lt;200)</formula>
    </cfRule>
  </conditionalFormatting>
  <conditionalFormatting sqref="M17">
    <cfRule type="expression" dxfId="3" priority="47">
      <formula>AND(G17&lt;1500,K17&lt;1500)</formula>
    </cfRule>
  </conditionalFormatting>
  <conditionalFormatting sqref="M18">
    <cfRule type="expression" dxfId="3" priority="55">
      <formula>AND(G18&lt;1000,K18&lt;1000)</formula>
    </cfRule>
  </conditionalFormatting>
  <conditionalFormatting sqref="M22">
    <cfRule type="expression" dxfId="3" priority="71">
      <formula>AND(G22&lt;50000,K22&lt;50000)</formula>
    </cfRule>
  </conditionalFormatting>
  <conditionalFormatting sqref="M24">
    <cfRule type="expression" dxfId="3" priority="83">
      <formula>AND(G24&lt;50000,K24&lt;50000)</formula>
    </cfRule>
  </conditionalFormatting>
  <conditionalFormatting sqref="M25">
    <cfRule type="expression" dxfId="3" priority="91">
      <formula>AND(G25&lt;50000,K25&lt;50000)</formula>
    </cfRule>
  </conditionalFormatting>
  <conditionalFormatting sqref="M26">
    <cfRule type="expression" dxfId="3" priority="99">
      <formula>AND(G26&lt;50000,K26&lt;50000)</formula>
    </cfRule>
  </conditionalFormatting>
  <conditionalFormatting sqref="M27">
    <cfRule type="expression" dxfId="3" priority="107">
      <formula>AND(G27&lt;50000,K27&lt;50000)</formula>
    </cfRule>
  </conditionalFormatting>
  <conditionalFormatting sqref="M28">
    <cfRule type="expression" dxfId="3" priority="115">
      <formula>AND(G28&lt;5000,K28&lt;5000)</formula>
    </cfRule>
  </conditionalFormatting>
  <conditionalFormatting sqref="N10">
    <cfRule type="cellIs" dxfId="2" priority="12" operator="lessThanOrEqual">
      <formula>I10</formula>
    </cfRule>
    <cfRule type="expression" dxfId="3" priority="16">
      <formula>AND(G10&lt;2500,K10&lt;2500)</formula>
    </cfRule>
  </conditionalFormatting>
  <conditionalFormatting sqref="N12">
    <cfRule type="cellIs" dxfId="2" priority="19" operator="lessThanOrEqual">
      <formula>I12</formula>
    </cfRule>
  </conditionalFormatting>
  <conditionalFormatting sqref="N13">
    <cfRule type="cellIs" dxfId="2" priority="24" operator="lessThanOrEqual">
      <formula>I13</formula>
    </cfRule>
    <cfRule type="expression" dxfId="3" priority="28">
      <formula>AND(G13&lt;3000,K13&lt;3000)</formula>
    </cfRule>
  </conditionalFormatting>
  <conditionalFormatting sqref="N14">
    <cfRule type="cellIs" dxfId="2" priority="32" operator="lessThanOrEqual">
      <formula>I14</formula>
    </cfRule>
    <cfRule type="expression" dxfId="3" priority="36">
      <formula>AND(G14&lt;200,K14&lt;200)</formula>
    </cfRule>
  </conditionalFormatting>
  <conditionalFormatting sqref="N15">
    <cfRule type="cellIs" dxfId="2" priority="39" operator="lessThanOrEqual">
      <formula>I15</formula>
    </cfRule>
  </conditionalFormatting>
  <conditionalFormatting sqref="N17">
    <cfRule type="cellIs" dxfId="2" priority="44" operator="lessThanOrEqual">
      <formula>I17</formula>
    </cfRule>
    <cfRule type="expression" dxfId="3" priority="48">
      <formula>AND(G17&lt;1500,K17&lt;1500)</formula>
    </cfRule>
  </conditionalFormatting>
  <conditionalFormatting sqref="N18">
    <cfRule type="cellIs" dxfId="2" priority="52" operator="lessThanOrEqual">
      <formula>I18</formula>
    </cfRule>
    <cfRule type="expression" dxfId="3" priority="56">
      <formula>AND(G18&lt;1000,K18&lt;1000)</formula>
    </cfRule>
  </conditionalFormatting>
  <conditionalFormatting sqref="N20">
    <cfRule type="cellIs" dxfId="2" priority="59" operator="lessThanOrEqual">
      <formula>I20</formula>
    </cfRule>
  </conditionalFormatting>
  <conditionalFormatting sqref="N21">
    <cfRule type="cellIs" dxfId="2" priority="63" operator="lessThanOrEqual">
      <formula>I21</formula>
    </cfRule>
  </conditionalFormatting>
  <conditionalFormatting sqref="N22">
    <cfRule type="cellIs" dxfId="2" priority="68" operator="lessThanOrEqual">
      <formula>I22</formula>
    </cfRule>
    <cfRule type="expression" dxfId="3" priority="72">
      <formula>AND(G22&lt;50000,K22&lt;50000)</formula>
    </cfRule>
  </conditionalFormatting>
  <conditionalFormatting sqref="N23">
    <cfRule type="cellIs" dxfId="2" priority="75" operator="lessThanOrEqual">
      <formula>I23</formula>
    </cfRule>
  </conditionalFormatting>
  <conditionalFormatting sqref="N24">
    <cfRule type="cellIs" dxfId="2" priority="80" operator="lessThanOrEqual">
      <formula>I24</formula>
    </cfRule>
    <cfRule type="expression" dxfId="3" priority="84">
      <formula>AND(G24&lt;50000,K24&lt;50000)</formula>
    </cfRule>
  </conditionalFormatting>
  <conditionalFormatting sqref="N25">
    <cfRule type="cellIs" dxfId="2" priority="88" operator="lessThanOrEqual">
      <formula>I25</formula>
    </cfRule>
    <cfRule type="expression" dxfId="3" priority="92">
      <formula>AND(G25&lt;50000,K25&lt;50000)</formula>
    </cfRule>
  </conditionalFormatting>
  <conditionalFormatting sqref="N26">
    <cfRule type="cellIs" dxfId="2" priority="96" operator="lessThanOrEqual">
      <formula>I26</formula>
    </cfRule>
    <cfRule type="expression" dxfId="3" priority="100">
      <formula>AND(G26&lt;50000,K26&lt;50000)</formula>
    </cfRule>
  </conditionalFormatting>
  <conditionalFormatting sqref="N27">
    <cfRule type="cellIs" dxfId="2" priority="104" operator="lessThanOrEqual">
      <formula>I27</formula>
    </cfRule>
    <cfRule type="expression" dxfId="3" priority="108">
      <formula>AND(G27&lt;50000,K27&lt;50000)</formula>
    </cfRule>
  </conditionalFormatting>
  <conditionalFormatting sqref="N28">
    <cfRule type="cellIs" dxfId="2" priority="112" operator="lessThanOrEqual">
      <formula>I28</formula>
    </cfRule>
    <cfRule type="expression" dxfId="3" priority="116">
      <formula>AND(G28&lt;5000,K28&lt;5000)</formula>
    </cfRule>
  </conditionalFormatting>
  <conditionalFormatting sqref="N29">
    <cfRule type="cellIs" dxfId="2" priority="119" operator="lessThanOrEqual">
      <formula>I29</formula>
    </cfRule>
  </conditionalFormatting>
  <conditionalFormatting sqref="N30">
    <cfRule type="cellIs" dxfId="2" priority="123" operator="lessThanOrEqual">
      <formula>I30</formula>
    </cfRule>
  </conditionalFormatting>
  <conditionalFormatting sqref="N31">
    <cfRule type="cellIs" dxfId="2" priority="127" operator="lessThanOrEqual">
      <formula>I31</formula>
    </cfRule>
  </conditionalFormatting>
  <conditionalFormatting sqref="N32">
    <cfRule type="cellIs" dxfId="2" priority="131" operator="lessThanOrEqual">
      <formula>I32</formula>
    </cfRule>
  </conditionalFormatting>
  <conditionalFormatting sqref="N7">
    <cfRule type="cellIs" dxfId="2" priority="3" operator="lessThanOrEqual">
      <formula>I7</formula>
    </cfRule>
  </conditionalFormatting>
  <conditionalFormatting sqref="N8">
    <cfRule type="cellIs" dxfId="2" priority="7" operator="lessThanOrEqual">
      <formula>I8</formula>
    </cfRule>
  </conditionalFormatting>
  <conditionalFormatting sqref="P10">
    <cfRule type="cellIs" dxfId="0" priority="145" operator="lessThan">
      <formula>G10</formula>
    </cfRule>
  </conditionalFormatting>
  <conditionalFormatting sqref="P11">
    <cfRule type="cellIs" dxfId="0" priority="149" operator="lessThan">
      <formula>G11</formula>
    </cfRule>
  </conditionalFormatting>
  <conditionalFormatting sqref="P12">
    <cfRule type="cellIs" dxfId="0" priority="153" operator="lessThan">
      <formula>G12</formula>
    </cfRule>
  </conditionalFormatting>
  <conditionalFormatting sqref="P13">
    <cfRule type="cellIs" dxfId="0" priority="157" operator="lessThan">
      <formula>G13</formula>
    </cfRule>
  </conditionalFormatting>
  <conditionalFormatting sqref="P14">
    <cfRule type="cellIs" dxfId="0" priority="161" operator="lessThan">
      <formula>G14</formula>
    </cfRule>
  </conditionalFormatting>
  <conditionalFormatting sqref="P15">
    <cfRule type="cellIs" dxfId="0" priority="165" operator="lessThan">
      <formula>G15</formula>
    </cfRule>
  </conditionalFormatting>
  <conditionalFormatting sqref="P16">
    <cfRule type="cellIs" dxfId="0" priority="169" operator="lessThan">
      <formula>G16</formula>
    </cfRule>
  </conditionalFormatting>
  <conditionalFormatting sqref="P17">
    <cfRule type="cellIs" dxfId="0" priority="173" operator="lessThan">
      <formula>G17</formula>
    </cfRule>
  </conditionalFormatting>
  <conditionalFormatting sqref="P18">
    <cfRule type="cellIs" dxfId="0" priority="177" operator="lessThan">
      <formula>G18</formula>
    </cfRule>
  </conditionalFormatting>
  <conditionalFormatting sqref="P20">
    <cfRule type="cellIs" dxfId="0" priority="181" operator="lessThan">
      <formula>G20</formula>
    </cfRule>
  </conditionalFormatting>
  <conditionalFormatting sqref="P21">
    <cfRule type="cellIs" dxfId="0" priority="185" operator="lessThan">
      <formula>G21</formula>
    </cfRule>
  </conditionalFormatting>
  <conditionalFormatting sqref="P22">
    <cfRule type="cellIs" dxfId="0" priority="189" operator="lessThan">
      <formula>G22</formula>
    </cfRule>
  </conditionalFormatting>
  <conditionalFormatting sqref="P23">
    <cfRule type="cellIs" dxfId="0" priority="193" operator="lessThan">
      <formula>G23</formula>
    </cfRule>
  </conditionalFormatting>
  <conditionalFormatting sqref="P24">
    <cfRule type="cellIs" dxfId="0" priority="197" operator="lessThan">
      <formula>G24</formula>
    </cfRule>
  </conditionalFormatting>
  <conditionalFormatting sqref="P25">
    <cfRule type="cellIs" dxfId="0" priority="201" operator="lessThan">
      <formula>G25</formula>
    </cfRule>
  </conditionalFormatting>
  <conditionalFormatting sqref="P26">
    <cfRule type="cellIs" dxfId="0" priority="205" operator="lessThan">
      <formula>G26</formula>
    </cfRule>
  </conditionalFormatting>
  <conditionalFormatting sqref="P27">
    <cfRule type="cellIs" dxfId="0" priority="209" operator="lessThan">
      <formula>G27</formula>
    </cfRule>
  </conditionalFormatting>
  <conditionalFormatting sqref="P28">
    <cfRule type="cellIs" dxfId="0" priority="213" operator="lessThan">
      <formula>G28</formula>
    </cfRule>
  </conditionalFormatting>
  <conditionalFormatting sqref="P29">
    <cfRule type="cellIs" dxfId="0" priority="217" operator="lessThan">
      <formula>G29</formula>
    </cfRule>
  </conditionalFormatting>
  <conditionalFormatting sqref="P30">
    <cfRule type="cellIs" dxfId="0" priority="221" operator="lessThan">
      <formula>G30</formula>
    </cfRule>
  </conditionalFormatting>
  <conditionalFormatting sqref="P31">
    <cfRule type="cellIs" dxfId="0" priority="225" operator="lessThan">
      <formula>G31</formula>
    </cfRule>
  </conditionalFormatting>
  <conditionalFormatting sqref="P32">
    <cfRule type="cellIs" dxfId="0" priority="229" operator="lessThan">
      <formula>G32</formula>
    </cfRule>
  </conditionalFormatting>
  <conditionalFormatting sqref="P33">
    <cfRule type="cellIs" dxfId="0" priority="233" operator="lessThan">
      <formula>G33</formula>
    </cfRule>
  </conditionalFormatting>
  <conditionalFormatting sqref="P7">
    <cfRule type="cellIs" dxfId="0" priority="133" operator="lessThan">
      <formula>G7</formula>
    </cfRule>
  </conditionalFormatting>
  <conditionalFormatting sqref="P8">
    <cfRule type="cellIs" dxfId="0" priority="137" operator="lessThan">
      <formula>G8</formula>
    </cfRule>
  </conditionalFormatting>
  <conditionalFormatting sqref="P9">
    <cfRule type="cellIs" dxfId="0" priority="141" operator="lessThan">
      <formula>G9</formula>
    </cfRule>
  </conditionalFormatting>
  <conditionalFormatting sqref="Q10">
    <cfRule type="expression" dxfId="1" priority="146">
      <formula>AND(NOT(ISBLANK(Q10)),OR(P10="NonStk",Q10&gt;P10))</formula>
    </cfRule>
  </conditionalFormatting>
  <conditionalFormatting sqref="Q11">
    <cfRule type="expression" dxfId="1" priority="150">
      <formula>AND(NOT(ISBLANK(Q11)),OR(P11="NonStk",Q11&gt;P11))</formula>
    </cfRule>
  </conditionalFormatting>
  <conditionalFormatting sqref="Q12">
    <cfRule type="expression" dxfId="1" priority="154">
      <formula>AND(NOT(ISBLANK(Q12)),OR(P12="NonStk",Q12&gt;P12))</formula>
    </cfRule>
  </conditionalFormatting>
  <conditionalFormatting sqref="Q13">
    <cfRule type="expression" dxfId="1" priority="158">
      <formula>AND(NOT(ISBLANK(Q13)),OR(P13="NonStk",Q13&gt;P13))</formula>
    </cfRule>
  </conditionalFormatting>
  <conditionalFormatting sqref="Q14">
    <cfRule type="expression" dxfId="1" priority="162">
      <formula>AND(NOT(ISBLANK(Q14)),OR(P14="NonStk",Q14&gt;P14))</formula>
    </cfRule>
  </conditionalFormatting>
  <conditionalFormatting sqref="Q15">
    <cfRule type="expression" dxfId="1" priority="166">
      <formula>AND(NOT(ISBLANK(Q15)),OR(P15="NonStk",Q15&gt;P15))</formula>
    </cfRule>
  </conditionalFormatting>
  <conditionalFormatting sqref="Q16">
    <cfRule type="expression" dxfId="1" priority="170">
      <formula>AND(NOT(ISBLANK(Q16)),OR(P16="NonStk",Q16&gt;P16))</formula>
    </cfRule>
  </conditionalFormatting>
  <conditionalFormatting sqref="Q17">
    <cfRule type="expression" dxfId="1" priority="174">
      <formula>AND(NOT(ISBLANK(Q17)),OR(P17="NonStk",Q17&gt;P17))</formula>
    </cfRule>
  </conditionalFormatting>
  <conditionalFormatting sqref="Q18">
    <cfRule type="expression" dxfId="1" priority="178">
      <formula>AND(NOT(ISBLANK(Q18)),OR(P18="NonStk",Q18&gt;P18))</formula>
    </cfRule>
  </conditionalFormatting>
  <conditionalFormatting sqref="Q20">
    <cfRule type="expression" dxfId="1" priority="182">
      <formula>AND(NOT(ISBLANK(Q20)),OR(P20="NonStk",Q20&gt;P20))</formula>
    </cfRule>
  </conditionalFormatting>
  <conditionalFormatting sqref="Q21">
    <cfRule type="expression" dxfId="1" priority="186">
      <formula>AND(NOT(ISBLANK(Q21)),OR(P21="NonStk",Q21&gt;P21))</formula>
    </cfRule>
  </conditionalFormatting>
  <conditionalFormatting sqref="Q22">
    <cfRule type="expression" dxfId="1" priority="190">
      <formula>AND(NOT(ISBLANK(Q22)),OR(P22="NonStk",Q22&gt;P22))</formula>
    </cfRule>
  </conditionalFormatting>
  <conditionalFormatting sqref="Q23">
    <cfRule type="expression" dxfId="1" priority="194">
      <formula>AND(NOT(ISBLANK(Q23)),OR(P23="NonStk",Q23&gt;P23))</formula>
    </cfRule>
  </conditionalFormatting>
  <conditionalFormatting sqref="Q24">
    <cfRule type="expression" dxfId="1" priority="198">
      <formula>AND(NOT(ISBLANK(Q24)),OR(P24="NonStk",Q24&gt;P24))</formula>
    </cfRule>
  </conditionalFormatting>
  <conditionalFormatting sqref="Q25">
    <cfRule type="expression" dxfId="1" priority="202">
      <formula>AND(NOT(ISBLANK(Q25)),OR(P25="NonStk",Q25&gt;P25))</formula>
    </cfRule>
  </conditionalFormatting>
  <conditionalFormatting sqref="Q26">
    <cfRule type="expression" dxfId="1" priority="206">
      <formula>AND(NOT(ISBLANK(Q26)),OR(P26="NonStk",Q26&gt;P26))</formula>
    </cfRule>
  </conditionalFormatting>
  <conditionalFormatting sqref="Q27">
    <cfRule type="expression" dxfId="1" priority="210">
      <formula>AND(NOT(ISBLANK(Q27)),OR(P27="NonStk",Q27&gt;P27))</formula>
    </cfRule>
  </conditionalFormatting>
  <conditionalFormatting sqref="Q28">
    <cfRule type="expression" dxfId="1" priority="214">
      <formula>AND(NOT(ISBLANK(Q28)),OR(P28="NonStk",Q28&gt;P28))</formula>
    </cfRule>
  </conditionalFormatting>
  <conditionalFormatting sqref="Q29">
    <cfRule type="expression" dxfId="1" priority="218">
      <formula>AND(NOT(ISBLANK(Q29)),OR(P29="NonStk",Q29&gt;P29))</formula>
    </cfRule>
  </conditionalFormatting>
  <conditionalFormatting sqref="Q30">
    <cfRule type="expression" dxfId="1" priority="222">
      <formula>AND(NOT(ISBLANK(Q30)),OR(P30="NonStk",Q30&gt;P30))</formula>
    </cfRule>
  </conditionalFormatting>
  <conditionalFormatting sqref="Q31">
    <cfRule type="expression" dxfId="1" priority="226">
      <formula>AND(NOT(ISBLANK(Q31)),OR(P31="NonStk",Q31&gt;P31))</formula>
    </cfRule>
  </conditionalFormatting>
  <conditionalFormatting sqref="Q32">
    <cfRule type="expression" dxfId="1" priority="230">
      <formula>AND(NOT(ISBLANK(Q32)),OR(P32="NonStk",Q32&gt;P32))</formula>
    </cfRule>
  </conditionalFormatting>
  <conditionalFormatting sqref="Q33">
    <cfRule type="expression" dxfId="1" priority="234">
      <formula>AND(NOT(ISBLANK(Q33)),OR(P33="NonStk",Q33&gt;P33))</formula>
    </cfRule>
  </conditionalFormatting>
  <conditionalFormatting sqref="Q7">
    <cfRule type="expression" dxfId="1" priority="134">
      <formula>AND(NOT(ISBLANK(Q7)),OR(P7="NonStk",Q7&gt;P7))</formula>
    </cfRule>
  </conditionalFormatting>
  <conditionalFormatting sqref="Q8">
    <cfRule type="expression" dxfId="1" priority="138">
      <formula>AND(NOT(ISBLANK(Q8)),OR(P8="NonStk",Q8&gt;P8))</formula>
    </cfRule>
  </conditionalFormatting>
  <conditionalFormatting sqref="Q9">
    <cfRule type="expression" dxfId="1" priority="142">
      <formula>AND(NOT(ISBLANK(Q9)),OR(P9="NonStk",Q9&gt;P9))</formula>
    </cfRule>
  </conditionalFormatting>
  <conditionalFormatting sqref="R10">
    <cfRule type="cellIs" dxfId="2" priority="148" operator="lessThanOrEqual">
      <formula>H10</formula>
    </cfRule>
  </conditionalFormatting>
  <conditionalFormatting sqref="R11">
    <cfRule type="cellIs" dxfId="2" priority="152" operator="lessThanOrEqual">
      <formula>H11</formula>
    </cfRule>
  </conditionalFormatting>
  <conditionalFormatting sqref="R12">
    <cfRule type="cellIs" dxfId="2" priority="156" operator="lessThanOrEqual">
      <formula>H12</formula>
    </cfRule>
  </conditionalFormatting>
  <conditionalFormatting sqref="R13">
    <cfRule type="cellIs" dxfId="2" priority="160" operator="lessThanOrEqual">
      <formula>H13</formula>
    </cfRule>
  </conditionalFormatting>
  <conditionalFormatting sqref="R14">
    <cfRule type="cellIs" dxfId="2" priority="164" operator="lessThanOrEqual">
      <formula>H14</formula>
    </cfRule>
  </conditionalFormatting>
  <conditionalFormatting sqref="R15">
    <cfRule type="cellIs" dxfId="2" priority="168" operator="lessThanOrEqual">
      <formula>H15</formula>
    </cfRule>
  </conditionalFormatting>
  <conditionalFormatting sqref="R16">
    <cfRule type="cellIs" dxfId="2" priority="172" operator="lessThanOrEqual">
      <formula>H16</formula>
    </cfRule>
  </conditionalFormatting>
  <conditionalFormatting sqref="R17">
    <cfRule type="cellIs" dxfId="2" priority="176" operator="lessThanOrEqual">
      <formula>H17</formula>
    </cfRule>
  </conditionalFormatting>
  <conditionalFormatting sqref="R18">
    <cfRule type="cellIs" dxfId="2" priority="180" operator="lessThanOrEqual">
      <formula>H18</formula>
    </cfRule>
  </conditionalFormatting>
  <conditionalFormatting sqref="R20">
    <cfRule type="cellIs" dxfId="2" priority="184" operator="lessThanOrEqual">
      <formula>H20</formula>
    </cfRule>
  </conditionalFormatting>
  <conditionalFormatting sqref="R21">
    <cfRule type="cellIs" dxfId="2" priority="188" operator="lessThanOrEqual">
      <formula>H21</formula>
    </cfRule>
  </conditionalFormatting>
  <conditionalFormatting sqref="R22">
    <cfRule type="cellIs" dxfId="2" priority="192" operator="lessThanOrEqual">
      <formula>H22</formula>
    </cfRule>
  </conditionalFormatting>
  <conditionalFormatting sqref="R23">
    <cfRule type="cellIs" dxfId="2" priority="196" operator="lessThanOrEqual">
      <formula>H23</formula>
    </cfRule>
  </conditionalFormatting>
  <conditionalFormatting sqref="R24">
    <cfRule type="cellIs" dxfId="2" priority="200" operator="lessThanOrEqual">
      <formula>H24</formula>
    </cfRule>
  </conditionalFormatting>
  <conditionalFormatting sqref="R25">
    <cfRule type="cellIs" dxfId="2" priority="204" operator="lessThanOrEqual">
      <formula>H25</formula>
    </cfRule>
  </conditionalFormatting>
  <conditionalFormatting sqref="R26">
    <cfRule type="cellIs" dxfId="2" priority="208" operator="lessThanOrEqual">
      <formula>H26</formula>
    </cfRule>
  </conditionalFormatting>
  <conditionalFormatting sqref="R27">
    <cfRule type="cellIs" dxfId="2" priority="212" operator="lessThanOrEqual">
      <formula>H27</formula>
    </cfRule>
  </conditionalFormatting>
  <conditionalFormatting sqref="R28">
    <cfRule type="cellIs" dxfId="2" priority="216" operator="lessThanOrEqual">
      <formula>H28</formula>
    </cfRule>
  </conditionalFormatting>
  <conditionalFormatting sqref="R29">
    <cfRule type="cellIs" dxfId="2" priority="220" operator="lessThanOrEqual">
      <formula>H29</formula>
    </cfRule>
  </conditionalFormatting>
  <conditionalFormatting sqref="R30">
    <cfRule type="cellIs" dxfId="2" priority="224" operator="lessThanOrEqual">
      <formula>H30</formula>
    </cfRule>
  </conditionalFormatting>
  <conditionalFormatting sqref="R31">
    <cfRule type="cellIs" dxfId="2" priority="228" operator="lessThanOrEqual">
      <formula>H31</formula>
    </cfRule>
  </conditionalFormatting>
  <conditionalFormatting sqref="R32">
    <cfRule type="cellIs" dxfId="2" priority="232" operator="lessThanOrEqual">
      <formula>H32</formula>
    </cfRule>
  </conditionalFormatting>
  <conditionalFormatting sqref="R33">
    <cfRule type="cellIs" dxfId="2" priority="236" operator="lessThanOrEqual">
      <formula>H33</formula>
    </cfRule>
  </conditionalFormatting>
  <conditionalFormatting sqref="R7">
    <cfRule type="cellIs" dxfId="2" priority="136" operator="lessThanOrEqual">
      <formula>H7</formula>
    </cfRule>
  </conditionalFormatting>
  <conditionalFormatting sqref="R8">
    <cfRule type="cellIs" dxfId="2" priority="140" operator="lessThanOrEqual">
      <formula>H8</formula>
    </cfRule>
  </conditionalFormatting>
  <conditionalFormatting sqref="R9">
    <cfRule type="cellIs" dxfId="2" priority="144" operator="lessThanOrEqual">
      <formula>H9</formula>
    </cfRule>
  </conditionalFormatting>
  <conditionalFormatting sqref="T10">
    <cfRule type="cellIs" dxfId="2" priority="147" operator="lessThanOrEqual">
      <formula>I10</formula>
    </cfRule>
  </conditionalFormatting>
  <conditionalFormatting sqref="T11">
    <cfRule type="cellIs" dxfId="2" priority="151" operator="lessThanOrEqual">
      <formula>I11</formula>
    </cfRule>
  </conditionalFormatting>
  <conditionalFormatting sqref="T12">
    <cfRule type="cellIs" dxfId="2" priority="155" operator="lessThanOrEqual">
      <formula>I12</formula>
    </cfRule>
  </conditionalFormatting>
  <conditionalFormatting sqref="T13">
    <cfRule type="cellIs" dxfId="2" priority="159" operator="lessThanOrEqual">
      <formula>I13</formula>
    </cfRule>
  </conditionalFormatting>
  <conditionalFormatting sqref="T14">
    <cfRule type="cellIs" dxfId="2" priority="163" operator="lessThanOrEqual">
      <formula>I14</formula>
    </cfRule>
  </conditionalFormatting>
  <conditionalFormatting sqref="T15">
    <cfRule type="cellIs" dxfId="2" priority="167" operator="lessThanOrEqual">
      <formula>I15</formula>
    </cfRule>
  </conditionalFormatting>
  <conditionalFormatting sqref="T16">
    <cfRule type="cellIs" dxfId="2" priority="171" operator="lessThanOrEqual">
      <formula>I16</formula>
    </cfRule>
  </conditionalFormatting>
  <conditionalFormatting sqref="T17">
    <cfRule type="cellIs" dxfId="2" priority="175" operator="lessThanOrEqual">
      <formula>I17</formula>
    </cfRule>
  </conditionalFormatting>
  <conditionalFormatting sqref="T18">
    <cfRule type="cellIs" dxfId="2" priority="179" operator="lessThanOrEqual">
      <formula>I18</formula>
    </cfRule>
  </conditionalFormatting>
  <conditionalFormatting sqref="T20">
    <cfRule type="cellIs" dxfId="2" priority="183" operator="lessThanOrEqual">
      <formula>I20</formula>
    </cfRule>
  </conditionalFormatting>
  <conditionalFormatting sqref="T21">
    <cfRule type="cellIs" dxfId="2" priority="187" operator="lessThanOrEqual">
      <formula>I21</formula>
    </cfRule>
  </conditionalFormatting>
  <conditionalFormatting sqref="T22">
    <cfRule type="cellIs" dxfId="2" priority="191" operator="lessThanOrEqual">
      <formula>I22</formula>
    </cfRule>
  </conditionalFormatting>
  <conditionalFormatting sqref="T23">
    <cfRule type="cellIs" dxfId="2" priority="195" operator="lessThanOrEqual">
      <formula>I23</formula>
    </cfRule>
  </conditionalFormatting>
  <conditionalFormatting sqref="T24">
    <cfRule type="cellIs" dxfId="2" priority="199" operator="lessThanOrEqual">
      <formula>I24</formula>
    </cfRule>
  </conditionalFormatting>
  <conditionalFormatting sqref="T25">
    <cfRule type="cellIs" dxfId="2" priority="203" operator="lessThanOrEqual">
      <formula>I25</formula>
    </cfRule>
  </conditionalFormatting>
  <conditionalFormatting sqref="T26">
    <cfRule type="cellIs" dxfId="2" priority="207" operator="lessThanOrEqual">
      <formula>I26</formula>
    </cfRule>
  </conditionalFormatting>
  <conditionalFormatting sqref="T27">
    <cfRule type="cellIs" dxfId="2" priority="211" operator="lessThanOrEqual">
      <formula>I27</formula>
    </cfRule>
  </conditionalFormatting>
  <conditionalFormatting sqref="T28">
    <cfRule type="cellIs" dxfId="2" priority="215" operator="lessThanOrEqual">
      <formula>I28</formula>
    </cfRule>
  </conditionalFormatting>
  <conditionalFormatting sqref="T29">
    <cfRule type="cellIs" dxfId="2" priority="219" operator="lessThanOrEqual">
      <formula>I29</formula>
    </cfRule>
  </conditionalFormatting>
  <conditionalFormatting sqref="T30">
    <cfRule type="cellIs" dxfId="2" priority="223" operator="lessThanOrEqual">
      <formula>I30</formula>
    </cfRule>
  </conditionalFormatting>
  <conditionalFormatting sqref="T31">
    <cfRule type="cellIs" dxfId="2" priority="227" operator="lessThanOrEqual">
      <formula>I31</formula>
    </cfRule>
  </conditionalFormatting>
  <conditionalFormatting sqref="T32">
    <cfRule type="cellIs" dxfId="2" priority="231" operator="lessThanOrEqual">
      <formula>I32</formula>
    </cfRule>
  </conditionalFormatting>
  <conditionalFormatting sqref="T33">
    <cfRule type="cellIs" dxfId="2" priority="235" operator="lessThanOrEqual">
      <formula>I33</formula>
    </cfRule>
  </conditionalFormatting>
  <conditionalFormatting sqref="T7">
    <cfRule type="cellIs" dxfId="2" priority="135" operator="lessThanOrEqual">
      <formula>I7</formula>
    </cfRule>
  </conditionalFormatting>
  <conditionalFormatting sqref="T8">
    <cfRule type="cellIs" dxfId="2" priority="139" operator="lessThanOrEqual">
      <formula>I8</formula>
    </cfRule>
  </conditionalFormatting>
  <conditionalFormatting sqref="T9">
    <cfRule type="cellIs" dxfId="2" priority="143" operator="lessThanOrEqual">
      <formula>I9</formula>
    </cfRule>
  </conditionalFormatting>
  <conditionalFormatting sqref="V10">
    <cfRule type="cellIs" dxfId="0" priority="253" operator="lessThan">
      <formula>G10</formula>
    </cfRule>
  </conditionalFormatting>
  <conditionalFormatting sqref="V11">
    <cfRule type="cellIs" dxfId="0" priority="261" operator="lessThan">
      <formula>G11</formula>
    </cfRule>
  </conditionalFormatting>
  <conditionalFormatting sqref="V12">
    <cfRule type="cellIs" dxfId="0" priority="269" operator="lessThan">
      <formula>G12</formula>
    </cfRule>
  </conditionalFormatting>
  <conditionalFormatting sqref="V13">
    <cfRule type="cellIs" dxfId="0" priority="277" operator="lessThan">
      <formula>G13</formula>
    </cfRule>
  </conditionalFormatting>
  <conditionalFormatting sqref="V14">
    <cfRule type="cellIs" dxfId="0" priority="285" operator="lessThan">
      <formula>G14</formula>
    </cfRule>
  </conditionalFormatting>
  <conditionalFormatting sqref="V15">
    <cfRule type="cellIs" dxfId="0" priority="289" operator="lessThan">
      <formula>G15</formula>
    </cfRule>
  </conditionalFormatting>
  <conditionalFormatting sqref="V16">
    <cfRule type="cellIs" dxfId="0" priority="297" operator="lessThan">
      <formula>G16</formula>
    </cfRule>
  </conditionalFormatting>
  <conditionalFormatting sqref="V17">
    <cfRule type="cellIs" dxfId="0" priority="301" operator="lessThan">
      <formula>G17</formula>
    </cfRule>
  </conditionalFormatting>
  <conditionalFormatting sqref="V20">
    <cfRule type="cellIs" dxfId="0" priority="305" operator="lessThan">
      <formula>G20</formula>
    </cfRule>
  </conditionalFormatting>
  <conditionalFormatting sqref="V21">
    <cfRule type="cellIs" dxfId="0" priority="313" operator="lessThan">
      <formula>G21</formula>
    </cfRule>
  </conditionalFormatting>
  <conditionalFormatting sqref="V22">
    <cfRule type="cellIs" dxfId="0" priority="321" operator="lessThan">
      <formula>G22</formula>
    </cfRule>
  </conditionalFormatting>
  <conditionalFormatting sqref="V23">
    <cfRule type="cellIs" dxfId="0" priority="329" operator="lessThan">
      <formula>G23</formula>
    </cfRule>
  </conditionalFormatting>
  <conditionalFormatting sqref="V24">
    <cfRule type="cellIs" dxfId="0" priority="337" operator="lessThan">
      <formula>G24</formula>
    </cfRule>
  </conditionalFormatting>
  <conditionalFormatting sqref="V25">
    <cfRule type="cellIs" dxfId="0" priority="345" operator="lessThan">
      <formula>G25</formula>
    </cfRule>
  </conditionalFormatting>
  <conditionalFormatting sqref="V26">
    <cfRule type="cellIs" dxfId="0" priority="353" operator="lessThan">
      <formula>G26</formula>
    </cfRule>
  </conditionalFormatting>
  <conditionalFormatting sqref="V27">
    <cfRule type="cellIs" dxfId="0" priority="361" operator="lessThan">
      <formula>G27</formula>
    </cfRule>
  </conditionalFormatting>
  <conditionalFormatting sqref="V28">
    <cfRule type="cellIs" dxfId="0" priority="369" operator="lessThan">
      <formula>G28</formula>
    </cfRule>
  </conditionalFormatting>
  <conditionalFormatting sqref="V29">
    <cfRule type="cellIs" dxfId="0" priority="377" operator="lessThan">
      <formula>G29</formula>
    </cfRule>
  </conditionalFormatting>
  <conditionalFormatting sqref="V30">
    <cfRule type="cellIs" dxfId="0" priority="381" operator="lessThan">
      <formula>G30</formula>
    </cfRule>
  </conditionalFormatting>
  <conditionalFormatting sqref="V31">
    <cfRule type="cellIs" dxfId="0" priority="385" operator="lessThan">
      <formula>G31</formula>
    </cfRule>
  </conditionalFormatting>
  <conditionalFormatting sqref="V32">
    <cfRule type="cellIs" dxfId="0" priority="389" operator="lessThan">
      <formula>G32</formula>
    </cfRule>
  </conditionalFormatting>
  <conditionalFormatting sqref="V33">
    <cfRule type="cellIs" dxfId="0" priority="397" operator="lessThan">
      <formula>G33</formula>
    </cfRule>
  </conditionalFormatting>
  <conditionalFormatting sqref="V7">
    <cfRule type="cellIs" dxfId="0" priority="237" operator="lessThan">
      <formula>G7</formula>
    </cfRule>
  </conditionalFormatting>
  <conditionalFormatting sqref="V8">
    <cfRule type="cellIs" dxfId="0" priority="245" operator="lessThan">
      <formula>G8</formula>
    </cfRule>
  </conditionalFormatting>
  <conditionalFormatting sqref="W10">
    <cfRule type="expression" dxfId="3" priority="254">
      <formula>AND(W10&gt;0,MOD(W10,Y10)&lt;&gt;0)</formula>
    </cfRule>
    <cfRule type="expression" dxfId="1" priority="255">
      <formula>AND(NOT(ISBLANK(W10)),OR(V10="NonStk",W10&gt;V10))</formula>
    </cfRule>
  </conditionalFormatting>
  <conditionalFormatting sqref="W11">
    <cfRule type="expression" dxfId="3" priority="262">
      <formula>AND(W11&gt;0,MOD(W11,Y11)&lt;&gt;0)</formula>
    </cfRule>
    <cfRule type="expression" dxfId="1" priority="263">
      <formula>AND(NOT(ISBLANK(W11)),OR(V11="NonStk",W11&gt;V11))</formula>
    </cfRule>
  </conditionalFormatting>
  <conditionalFormatting sqref="W12">
    <cfRule type="expression" dxfId="3" priority="270">
      <formula>AND(W12&gt;0,MOD(W12,Y12)&lt;&gt;0)</formula>
    </cfRule>
    <cfRule type="expression" dxfId="1" priority="271">
      <formula>AND(NOT(ISBLANK(W12)),OR(V12="NonStk",W12&gt;V12))</formula>
    </cfRule>
  </conditionalFormatting>
  <conditionalFormatting sqref="W13">
    <cfRule type="expression" dxfId="3" priority="278">
      <formula>AND(W13&gt;0,MOD(W13,Y13)&lt;&gt;0)</formula>
    </cfRule>
    <cfRule type="expression" dxfId="1" priority="279">
      <formula>AND(NOT(ISBLANK(W13)),OR(V13="NonStk",W13&gt;V13))</formula>
    </cfRule>
  </conditionalFormatting>
  <conditionalFormatting sqref="W14">
    <cfRule type="expression" dxfId="1" priority="286">
      <formula>AND(NOT(ISBLANK(W14)),OR(V14="NonStk",W14&gt;V14))</formula>
    </cfRule>
  </conditionalFormatting>
  <conditionalFormatting sqref="W15">
    <cfRule type="expression" dxfId="3" priority="290">
      <formula>AND(W15&gt;0,MOD(W15,Y15)&lt;&gt;0)</formula>
    </cfRule>
    <cfRule type="expression" dxfId="1" priority="291">
      <formula>AND(NOT(ISBLANK(W15)),OR(V15="NonStk",W15&gt;V15))</formula>
    </cfRule>
  </conditionalFormatting>
  <conditionalFormatting sqref="W16">
    <cfRule type="expression" dxfId="1" priority="298">
      <formula>AND(NOT(ISBLANK(W16)),OR(V16="NonStk",W16&gt;V16))</formula>
    </cfRule>
  </conditionalFormatting>
  <conditionalFormatting sqref="W17">
    <cfRule type="expression" dxfId="1" priority="302">
      <formula>AND(NOT(ISBLANK(W17)),OR(V17="NonStk",W17&gt;V17))</formula>
    </cfRule>
  </conditionalFormatting>
  <conditionalFormatting sqref="W20">
    <cfRule type="expression" dxfId="3" priority="306">
      <formula>AND(W20&gt;0,MOD(W20,Y20)&lt;&gt;0)</formula>
    </cfRule>
    <cfRule type="expression" dxfId="1" priority="307">
      <formula>AND(NOT(ISBLANK(W20)),OR(V20="NonStk",W20&gt;V20))</formula>
    </cfRule>
  </conditionalFormatting>
  <conditionalFormatting sqref="W21">
    <cfRule type="expression" dxfId="3" priority="314">
      <formula>AND(W21&gt;0,MOD(W21,Y21)&lt;&gt;0)</formula>
    </cfRule>
    <cfRule type="expression" dxfId="1" priority="315">
      <formula>AND(NOT(ISBLANK(W21)),OR(V21="NonStk",W21&gt;V21))</formula>
    </cfRule>
  </conditionalFormatting>
  <conditionalFormatting sqref="W22">
    <cfRule type="expression" dxfId="3" priority="322">
      <formula>AND(W22&gt;0,MOD(W22,Y22)&lt;&gt;0)</formula>
    </cfRule>
    <cfRule type="expression" dxfId="1" priority="323">
      <formula>AND(NOT(ISBLANK(W22)),OR(V22="NonStk",W22&gt;V22))</formula>
    </cfRule>
  </conditionalFormatting>
  <conditionalFormatting sqref="W23">
    <cfRule type="expression" dxfId="3" priority="330">
      <formula>AND(W23&gt;0,MOD(W23,Y23)&lt;&gt;0)</formula>
    </cfRule>
    <cfRule type="expression" dxfId="1" priority="331">
      <formula>AND(NOT(ISBLANK(W23)),OR(V23="NonStk",W23&gt;V23))</formula>
    </cfRule>
  </conditionalFormatting>
  <conditionalFormatting sqref="W24">
    <cfRule type="expression" dxfId="3" priority="338">
      <formula>AND(W24&gt;0,MOD(W24,Y24)&lt;&gt;0)</formula>
    </cfRule>
    <cfRule type="expression" dxfId="1" priority="339">
      <formula>AND(NOT(ISBLANK(W24)),OR(V24="NonStk",W24&gt;V24))</formula>
    </cfRule>
  </conditionalFormatting>
  <conditionalFormatting sqref="W25">
    <cfRule type="expression" dxfId="3" priority="346">
      <formula>AND(W25&gt;0,MOD(W25,Y25)&lt;&gt;0)</formula>
    </cfRule>
    <cfRule type="expression" dxfId="1" priority="347">
      <formula>AND(NOT(ISBLANK(W25)),OR(V25="NonStk",W25&gt;V25))</formula>
    </cfRule>
  </conditionalFormatting>
  <conditionalFormatting sqref="W26">
    <cfRule type="expression" dxfId="3" priority="354">
      <formula>AND(W26&gt;0,MOD(W26,Y26)&lt;&gt;0)</formula>
    </cfRule>
    <cfRule type="expression" dxfId="1" priority="355">
      <formula>AND(NOT(ISBLANK(W26)),OR(V26="NonStk",W26&gt;V26))</formula>
    </cfRule>
  </conditionalFormatting>
  <conditionalFormatting sqref="W27">
    <cfRule type="expression" dxfId="3" priority="362">
      <formula>AND(W27&gt;0,MOD(W27,Y27)&lt;&gt;0)</formula>
    </cfRule>
    <cfRule type="expression" dxfId="1" priority="363">
      <formula>AND(NOT(ISBLANK(W27)),OR(V27="NonStk",W27&gt;V27))</formula>
    </cfRule>
  </conditionalFormatting>
  <conditionalFormatting sqref="W28">
    <cfRule type="expression" dxfId="3" priority="370">
      <formula>AND(W28&gt;0,MOD(W28,Y28)&lt;&gt;0)</formula>
    </cfRule>
    <cfRule type="expression" dxfId="1" priority="371">
      <formula>AND(NOT(ISBLANK(W28)),OR(V28="NonStk",W28&gt;V28))</formula>
    </cfRule>
  </conditionalFormatting>
  <conditionalFormatting sqref="W29">
    <cfRule type="expression" dxfId="1" priority="378">
      <formula>AND(NOT(ISBLANK(W29)),OR(V29="NonStk",W29&gt;V29))</formula>
    </cfRule>
  </conditionalFormatting>
  <conditionalFormatting sqref="W30">
    <cfRule type="expression" dxfId="1" priority="382">
      <formula>AND(NOT(ISBLANK(W30)),OR(V30="NonStk",W30&gt;V30))</formula>
    </cfRule>
  </conditionalFormatting>
  <conditionalFormatting sqref="W31">
    <cfRule type="expression" dxfId="1" priority="386">
      <formula>AND(NOT(ISBLANK(W31)),OR(V31="NonStk",W31&gt;V31))</formula>
    </cfRule>
  </conditionalFormatting>
  <conditionalFormatting sqref="W32">
    <cfRule type="expression" dxfId="3" priority="390">
      <formula>AND(W32&gt;0,MOD(W32,Y32)&lt;&gt;0)</formula>
    </cfRule>
    <cfRule type="expression" dxfId="1" priority="391">
      <formula>AND(NOT(ISBLANK(W32)),OR(V32="NonStk",W32&gt;V32))</formula>
    </cfRule>
  </conditionalFormatting>
  <conditionalFormatting sqref="W33">
    <cfRule type="expression" dxfId="1" priority="398">
      <formula>AND(NOT(ISBLANK(W33)),OR(V33="NonStk",W33&gt;V33))</formula>
    </cfRule>
  </conditionalFormatting>
  <conditionalFormatting sqref="W7">
    <cfRule type="expression" dxfId="3" priority="238">
      <formula>AND(W7&gt;0,MOD(W7,Y7)&lt;&gt;0)</formula>
    </cfRule>
    <cfRule type="expression" dxfId="1" priority="239">
      <formula>AND(NOT(ISBLANK(W7)),OR(V7="NonStk",W7&gt;V7))</formula>
    </cfRule>
  </conditionalFormatting>
  <conditionalFormatting sqref="W8">
    <cfRule type="expression" dxfId="3" priority="246">
      <formula>AND(W8&gt;0,MOD(W8,Y8)&lt;&gt;0)</formula>
    </cfRule>
    <cfRule type="expression" dxfId="1" priority="247">
      <formula>AND(NOT(ISBLANK(W8)),OR(V8="NonStk",W8&gt;V8))</formula>
    </cfRule>
  </conditionalFormatting>
  <conditionalFormatting sqref="X10">
    <cfRule type="cellIs" dxfId="2" priority="257" operator="lessThanOrEqual">
      <formula>H10</formula>
    </cfRule>
    <cfRule type="expression" dxfId="3" priority="258">
      <formula>AND(G10&lt;5,W10&lt;5)</formula>
    </cfRule>
  </conditionalFormatting>
  <conditionalFormatting sqref="X11">
    <cfRule type="cellIs" dxfId="2" priority="265" operator="lessThanOrEqual">
      <formula>H11</formula>
    </cfRule>
    <cfRule type="expression" dxfId="3" priority="266">
      <formula>AND(G11&lt;5,W11&lt;5)</formula>
    </cfRule>
  </conditionalFormatting>
  <conditionalFormatting sqref="X12">
    <cfRule type="cellIs" dxfId="2" priority="273" operator="lessThanOrEqual">
      <formula>H12</formula>
    </cfRule>
    <cfRule type="expression" dxfId="3" priority="274">
      <formula>AND(G12&lt;10,W12&lt;10)</formula>
    </cfRule>
  </conditionalFormatting>
  <conditionalFormatting sqref="X13">
    <cfRule type="cellIs" dxfId="2" priority="281" operator="lessThanOrEqual">
      <formula>H13</formula>
    </cfRule>
    <cfRule type="expression" dxfId="3" priority="282">
      <formula>AND(G13&lt;5,W13&lt;5)</formula>
    </cfRule>
  </conditionalFormatting>
  <conditionalFormatting sqref="X14">
    <cfRule type="cellIs" dxfId="2" priority="288" operator="lessThanOrEqual">
      <formula>H14</formula>
    </cfRule>
  </conditionalFormatting>
  <conditionalFormatting sqref="X15">
    <cfRule type="cellIs" dxfId="2" priority="293" operator="lessThanOrEqual">
      <formula>H15</formula>
    </cfRule>
    <cfRule type="expression" dxfId="3" priority="294">
      <formula>AND(G15&lt;5,W15&lt;5)</formula>
    </cfRule>
  </conditionalFormatting>
  <conditionalFormatting sqref="X16">
    <cfRule type="cellIs" dxfId="2" priority="300" operator="lessThanOrEqual">
      <formula>H16</formula>
    </cfRule>
  </conditionalFormatting>
  <conditionalFormatting sqref="X17">
    <cfRule type="cellIs" dxfId="2" priority="304" operator="lessThanOrEqual">
      <formula>H17</formula>
    </cfRule>
  </conditionalFormatting>
  <conditionalFormatting sqref="X20">
    <cfRule type="cellIs" dxfId="2" priority="309" operator="lessThanOrEqual">
      <formula>H20</formula>
    </cfRule>
    <cfRule type="expression" dxfId="3" priority="310">
      <formula>AND(G20&lt;5,W20&lt;5)</formula>
    </cfRule>
  </conditionalFormatting>
  <conditionalFormatting sqref="X21">
    <cfRule type="cellIs" dxfId="2" priority="317" operator="lessThanOrEqual">
      <formula>H21</formula>
    </cfRule>
    <cfRule type="expression" dxfId="3" priority="318">
      <formula>AND(G21&lt;10,W21&lt;10)</formula>
    </cfRule>
  </conditionalFormatting>
  <conditionalFormatting sqref="X22">
    <cfRule type="cellIs" dxfId="2" priority="325" operator="lessThanOrEqual">
      <formula>H22</formula>
    </cfRule>
    <cfRule type="expression" dxfId="3" priority="326">
      <formula>AND(G22&lt;10,W22&lt;10)</formula>
    </cfRule>
  </conditionalFormatting>
  <conditionalFormatting sqref="X23">
    <cfRule type="cellIs" dxfId="2" priority="333" operator="lessThanOrEqual">
      <formula>H23</formula>
    </cfRule>
    <cfRule type="expression" dxfId="3" priority="334">
      <formula>AND(G23&lt;10,W23&lt;10)</formula>
    </cfRule>
  </conditionalFormatting>
  <conditionalFormatting sqref="X24">
    <cfRule type="cellIs" dxfId="2" priority="341" operator="lessThanOrEqual">
      <formula>H24</formula>
    </cfRule>
    <cfRule type="expression" dxfId="3" priority="342">
      <formula>AND(G24&lt;10,W24&lt;10)</formula>
    </cfRule>
  </conditionalFormatting>
  <conditionalFormatting sqref="X25">
    <cfRule type="cellIs" dxfId="2" priority="349" operator="lessThanOrEqual">
      <formula>H25</formula>
    </cfRule>
    <cfRule type="expression" dxfId="3" priority="350">
      <formula>AND(G25&lt;10,W25&lt;10)</formula>
    </cfRule>
  </conditionalFormatting>
  <conditionalFormatting sqref="X26">
    <cfRule type="cellIs" dxfId="2" priority="357" operator="lessThanOrEqual">
      <formula>H26</formula>
    </cfRule>
    <cfRule type="expression" dxfId="3" priority="358">
      <formula>AND(G26&lt;10,W26&lt;10)</formula>
    </cfRule>
  </conditionalFormatting>
  <conditionalFormatting sqref="X27">
    <cfRule type="cellIs" dxfId="2" priority="365" operator="lessThanOrEqual">
      <formula>H27</formula>
    </cfRule>
    <cfRule type="expression" dxfId="3" priority="366">
      <formula>AND(G27&lt;10,W27&lt;10)</formula>
    </cfRule>
  </conditionalFormatting>
  <conditionalFormatting sqref="X28">
    <cfRule type="cellIs" dxfId="2" priority="373" operator="lessThanOrEqual">
      <formula>H28</formula>
    </cfRule>
    <cfRule type="expression" dxfId="3" priority="374">
      <formula>AND(G28&lt;10,W28&lt;10)</formula>
    </cfRule>
  </conditionalFormatting>
  <conditionalFormatting sqref="X29">
    <cfRule type="cellIs" dxfId="2" priority="380" operator="lessThanOrEqual">
      <formula>H29</formula>
    </cfRule>
  </conditionalFormatting>
  <conditionalFormatting sqref="X30">
    <cfRule type="cellIs" dxfId="2" priority="384" operator="lessThanOrEqual">
      <formula>H30</formula>
    </cfRule>
  </conditionalFormatting>
  <conditionalFormatting sqref="X31">
    <cfRule type="cellIs" dxfId="2" priority="388" operator="lessThanOrEqual">
      <formula>H31</formula>
    </cfRule>
  </conditionalFormatting>
  <conditionalFormatting sqref="X32">
    <cfRule type="cellIs" dxfId="2" priority="393" operator="lessThanOrEqual">
      <formula>H32</formula>
    </cfRule>
    <cfRule type="expression" dxfId="3" priority="394">
      <formula>AND(G32&lt;10,W32&lt;10)</formula>
    </cfRule>
  </conditionalFormatting>
  <conditionalFormatting sqref="X33">
    <cfRule type="cellIs" dxfId="2" priority="400" operator="lessThanOrEqual">
      <formula>H33</formula>
    </cfRule>
  </conditionalFormatting>
  <conditionalFormatting sqref="X7">
    <cfRule type="cellIs" dxfId="2" priority="241" operator="lessThanOrEqual">
      <formula>H7</formula>
    </cfRule>
    <cfRule type="expression" dxfId="3" priority="242">
      <formula>AND(G7&lt;3000,W7&lt;3000)</formula>
    </cfRule>
  </conditionalFormatting>
  <conditionalFormatting sqref="X8">
    <cfRule type="cellIs" dxfId="2" priority="249" operator="lessThanOrEqual">
      <formula>H8</formula>
    </cfRule>
    <cfRule type="expression" dxfId="3" priority="250">
      <formula>AND(G8&lt;10,W8&lt;10)</formula>
    </cfRule>
  </conditionalFormatting>
  <conditionalFormatting sqref="Y10">
    <cfRule type="expression" dxfId="3" priority="259">
      <formula>AND(G10&lt;5,W10&lt;5)</formula>
    </cfRule>
  </conditionalFormatting>
  <conditionalFormatting sqref="Y11">
    <cfRule type="expression" dxfId="3" priority="267">
      <formula>AND(G11&lt;5,W11&lt;5)</formula>
    </cfRule>
  </conditionalFormatting>
  <conditionalFormatting sqref="Y12">
    <cfRule type="expression" dxfId="3" priority="275">
      <formula>AND(G12&lt;10,W12&lt;10)</formula>
    </cfRule>
  </conditionalFormatting>
  <conditionalFormatting sqref="Y13">
    <cfRule type="expression" dxfId="3" priority="283">
      <formula>AND(G13&lt;5,W13&lt;5)</formula>
    </cfRule>
  </conditionalFormatting>
  <conditionalFormatting sqref="Y15">
    <cfRule type="expression" dxfId="3" priority="295">
      <formula>AND(G15&lt;5,W15&lt;5)</formula>
    </cfRule>
  </conditionalFormatting>
  <conditionalFormatting sqref="Y20">
    <cfRule type="expression" dxfId="3" priority="311">
      <formula>AND(G20&lt;5,W20&lt;5)</formula>
    </cfRule>
  </conditionalFormatting>
  <conditionalFormatting sqref="Y21">
    <cfRule type="expression" dxfId="3" priority="319">
      <formula>AND(G21&lt;10,W21&lt;10)</formula>
    </cfRule>
  </conditionalFormatting>
  <conditionalFormatting sqref="Y22">
    <cfRule type="expression" dxfId="3" priority="327">
      <formula>AND(G22&lt;10,W22&lt;10)</formula>
    </cfRule>
  </conditionalFormatting>
  <conditionalFormatting sqref="Y23">
    <cfRule type="expression" dxfId="3" priority="335">
      <formula>AND(G23&lt;10,W23&lt;10)</formula>
    </cfRule>
  </conditionalFormatting>
  <conditionalFormatting sqref="Y24">
    <cfRule type="expression" dxfId="3" priority="343">
      <formula>AND(G24&lt;10,W24&lt;10)</formula>
    </cfRule>
  </conditionalFormatting>
  <conditionalFormatting sqref="Y25">
    <cfRule type="expression" dxfId="3" priority="351">
      <formula>AND(G25&lt;10,W25&lt;10)</formula>
    </cfRule>
  </conditionalFormatting>
  <conditionalFormatting sqref="Y26">
    <cfRule type="expression" dxfId="3" priority="359">
      <formula>AND(G26&lt;10,W26&lt;10)</formula>
    </cfRule>
  </conditionalFormatting>
  <conditionalFormatting sqref="Y27">
    <cfRule type="expression" dxfId="3" priority="367">
      <formula>AND(G27&lt;10,W27&lt;10)</formula>
    </cfRule>
  </conditionalFormatting>
  <conditionalFormatting sqref="Y28">
    <cfRule type="expression" dxfId="3" priority="375">
      <formula>AND(G28&lt;10,W28&lt;10)</formula>
    </cfRule>
  </conditionalFormatting>
  <conditionalFormatting sqref="Y32">
    <cfRule type="expression" dxfId="3" priority="395">
      <formula>AND(G32&lt;10,W32&lt;10)</formula>
    </cfRule>
  </conditionalFormatting>
  <conditionalFormatting sqref="Y7">
    <cfRule type="expression" dxfId="3" priority="243">
      <formula>AND(G7&lt;3000,W7&lt;3000)</formula>
    </cfRule>
  </conditionalFormatting>
  <conditionalFormatting sqref="Y8">
    <cfRule type="expression" dxfId="3" priority="251">
      <formula>AND(G8&lt;10,W8&lt;10)</formula>
    </cfRule>
  </conditionalFormatting>
  <conditionalFormatting sqref="Z10">
    <cfRule type="cellIs" dxfId="2" priority="256" operator="lessThanOrEqual">
      <formula>I10</formula>
    </cfRule>
    <cfRule type="expression" dxfId="3" priority="260">
      <formula>AND(G10&lt;5,W10&lt;5)</formula>
    </cfRule>
  </conditionalFormatting>
  <conditionalFormatting sqref="Z11">
    <cfRule type="cellIs" dxfId="2" priority="264" operator="lessThanOrEqual">
      <formula>I11</formula>
    </cfRule>
    <cfRule type="expression" dxfId="3" priority="268">
      <formula>AND(G11&lt;5,W11&lt;5)</formula>
    </cfRule>
  </conditionalFormatting>
  <conditionalFormatting sqref="Z12">
    <cfRule type="cellIs" dxfId="2" priority="272" operator="lessThanOrEqual">
      <formula>I12</formula>
    </cfRule>
    <cfRule type="expression" dxfId="3" priority="276">
      <formula>AND(G12&lt;10,W12&lt;10)</formula>
    </cfRule>
  </conditionalFormatting>
  <conditionalFormatting sqref="Z13">
    <cfRule type="cellIs" dxfId="2" priority="280" operator="lessThanOrEqual">
      <formula>I13</formula>
    </cfRule>
    <cfRule type="expression" dxfId="3" priority="284">
      <formula>AND(G13&lt;5,W13&lt;5)</formula>
    </cfRule>
  </conditionalFormatting>
  <conditionalFormatting sqref="Z14">
    <cfRule type="cellIs" dxfId="2" priority="287" operator="lessThanOrEqual">
      <formula>I14</formula>
    </cfRule>
  </conditionalFormatting>
  <conditionalFormatting sqref="Z15">
    <cfRule type="cellIs" dxfId="2" priority="292" operator="lessThanOrEqual">
      <formula>I15</formula>
    </cfRule>
    <cfRule type="expression" dxfId="3" priority="296">
      <formula>AND(G15&lt;5,W15&lt;5)</formula>
    </cfRule>
  </conditionalFormatting>
  <conditionalFormatting sqref="Z16">
    <cfRule type="cellIs" dxfId="2" priority="299" operator="lessThanOrEqual">
      <formula>I16</formula>
    </cfRule>
  </conditionalFormatting>
  <conditionalFormatting sqref="Z17">
    <cfRule type="cellIs" dxfId="2" priority="303" operator="lessThanOrEqual">
      <formula>I17</formula>
    </cfRule>
  </conditionalFormatting>
  <conditionalFormatting sqref="Z20">
    <cfRule type="cellIs" dxfId="2" priority="308" operator="lessThanOrEqual">
      <formula>I20</formula>
    </cfRule>
    <cfRule type="expression" dxfId="3" priority="312">
      <formula>AND(G20&lt;5,W20&lt;5)</formula>
    </cfRule>
  </conditionalFormatting>
  <conditionalFormatting sqref="Z21">
    <cfRule type="cellIs" dxfId="2" priority="316" operator="lessThanOrEqual">
      <formula>I21</formula>
    </cfRule>
    <cfRule type="expression" dxfId="3" priority="320">
      <formula>AND(G21&lt;10,W21&lt;10)</formula>
    </cfRule>
  </conditionalFormatting>
  <conditionalFormatting sqref="Z22">
    <cfRule type="cellIs" dxfId="2" priority="324" operator="lessThanOrEqual">
      <formula>I22</formula>
    </cfRule>
    <cfRule type="expression" dxfId="3" priority="328">
      <formula>AND(G22&lt;10,W22&lt;10)</formula>
    </cfRule>
  </conditionalFormatting>
  <conditionalFormatting sqref="Z23">
    <cfRule type="cellIs" dxfId="2" priority="332" operator="lessThanOrEqual">
      <formula>I23</formula>
    </cfRule>
    <cfRule type="expression" dxfId="3" priority="336">
      <formula>AND(G23&lt;10,W23&lt;10)</formula>
    </cfRule>
  </conditionalFormatting>
  <conditionalFormatting sqref="Z24">
    <cfRule type="cellIs" dxfId="2" priority="340" operator="lessThanOrEqual">
      <formula>I24</formula>
    </cfRule>
    <cfRule type="expression" dxfId="3" priority="344">
      <formula>AND(G24&lt;10,W24&lt;10)</formula>
    </cfRule>
  </conditionalFormatting>
  <conditionalFormatting sqref="Z25">
    <cfRule type="cellIs" dxfId="2" priority="348" operator="lessThanOrEqual">
      <formula>I25</formula>
    </cfRule>
    <cfRule type="expression" dxfId="3" priority="352">
      <formula>AND(G25&lt;10,W25&lt;10)</formula>
    </cfRule>
  </conditionalFormatting>
  <conditionalFormatting sqref="Z26">
    <cfRule type="cellIs" dxfId="2" priority="356" operator="lessThanOrEqual">
      <formula>I26</formula>
    </cfRule>
    <cfRule type="expression" dxfId="3" priority="360">
      <formula>AND(G26&lt;10,W26&lt;10)</formula>
    </cfRule>
  </conditionalFormatting>
  <conditionalFormatting sqref="Z27">
    <cfRule type="cellIs" dxfId="2" priority="364" operator="lessThanOrEqual">
      <formula>I27</formula>
    </cfRule>
    <cfRule type="expression" dxfId="3" priority="368">
      <formula>AND(G27&lt;10,W27&lt;10)</formula>
    </cfRule>
  </conditionalFormatting>
  <conditionalFormatting sqref="Z28">
    <cfRule type="cellIs" dxfId="2" priority="372" operator="lessThanOrEqual">
      <formula>I28</formula>
    </cfRule>
    <cfRule type="expression" dxfId="3" priority="376">
      <formula>AND(G28&lt;10,W28&lt;10)</formula>
    </cfRule>
  </conditionalFormatting>
  <conditionalFormatting sqref="Z29">
    <cfRule type="cellIs" dxfId="2" priority="379" operator="lessThanOrEqual">
      <formula>I29</formula>
    </cfRule>
  </conditionalFormatting>
  <conditionalFormatting sqref="Z30">
    <cfRule type="cellIs" dxfId="2" priority="383" operator="lessThanOrEqual">
      <formula>I30</formula>
    </cfRule>
  </conditionalFormatting>
  <conditionalFormatting sqref="Z31">
    <cfRule type="cellIs" dxfId="2" priority="387" operator="lessThanOrEqual">
      <formula>I31</formula>
    </cfRule>
  </conditionalFormatting>
  <conditionalFormatting sqref="Z32">
    <cfRule type="cellIs" dxfId="2" priority="392" operator="lessThanOrEqual">
      <formula>I32</formula>
    </cfRule>
    <cfRule type="expression" dxfId="3" priority="396">
      <formula>AND(G32&lt;10,W32&lt;10)</formula>
    </cfRule>
  </conditionalFormatting>
  <conditionalFormatting sqref="Z33">
    <cfRule type="cellIs" dxfId="2" priority="399" operator="lessThanOrEqual">
      <formula>I33</formula>
    </cfRule>
  </conditionalFormatting>
  <conditionalFormatting sqref="Z7">
    <cfRule type="cellIs" dxfId="2" priority="240" operator="lessThanOrEqual">
      <formula>I7</formula>
    </cfRule>
    <cfRule type="expression" dxfId="3" priority="244">
      <formula>AND(G7&lt;3000,W7&lt;3000)</formula>
    </cfRule>
  </conditionalFormatting>
  <conditionalFormatting sqref="Z8">
    <cfRule type="cellIs" dxfId="2" priority="248" operator="lessThanOrEqual">
      <formula>I8</formula>
    </cfRule>
    <cfRule type="expression" dxfId="3" priority="252">
      <formula>AND(G8&lt;10,W8&lt;10)</formula>
    </cfRule>
  </conditionalFormatting>
  <hyperlinks>
    <hyperlink ref="F7" r:id="rId1"/>
    <hyperlink ref="O7" r:id="rId2"/>
    <hyperlink ref="U7" r:id="rId3"/>
    <hyperlink ref="AA7" r:id="rId4"/>
    <hyperlink ref="AM7" r:id="rId5"/>
    <hyperlink ref="F8" r:id="rId6"/>
    <hyperlink ref="O8" r:id="rId7"/>
    <hyperlink ref="U8" r:id="rId8"/>
    <hyperlink ref="AA8" r:id="rId9"/>
    <hyperlink ref="AM8" r:id="rId10"/>
    <hyperlink ref="AS8" r:id="rId11"/>
    <hyperlink ref="AY8" r:id="rId12"/>
    <hyperlink ref="BE8" r:id="rId13"/>
    <hyperlink ref="F9" r:id="rId14"/>
    <hyperlink ref="U9" r:id="rId15"/>
    <hyperlink ref="F10" r:id="rId16"/>
    <hyperlink ref="O10" r:id="rId17"/>
    <hyperlink ref="U10" r:id="rId18"/>
    <hyperlink ref="AA10" r:id="rId19"/>
    <hyperlink ref="AG10" r:id="rId20"/>
    <hyperlink ref="AM10" r:id="rId21"/>
    <hyperlink ref="AS10" r:id="rId22"/>
    <hyperlink ref="AY10" r:id="rId23"/>
    <hyperlink ref="BE10" r:id="rId24"/>
    <hyperlink ref="F11" r:id="rId25"/>
    <hyperlink ref="O11" r:id="rId26"/>
    <hyperlink ref="U11" r:id="rId27"/>
    <hyperlink ref="AA11" r:id="rId28"/>
    <hyperlink ref="AM11" r:id="rId29"/>
    <hyperlink ref="AS11" r:id="rId30"/>
    <hyperlink ref="AY11" r:id="rId31"/>
    <hyperlink ref="F12" r:id="rId32"/>
    <hyperlink ref="O12" r:id="rId33"/>
    <hyperlink ref="U12" r:id="rId34"/>
    <hyperlink ref="AA12" r:id="rId35"/>
    <hyperlink ref="AM12" r:id="rId36"/>
    <hyperlink ref="AS12" r:id="rId37"/>
    <hyperlink ref="AY12" r:id="rId38"/>
    <hyperlink ref="BE12" r:id="rId39"/>
    <hyperlink ref="F13" r:id="rId40"/>
    <hyperlink ref="O13" r:id="rId41"/>
    <hyperlink ref="U13" r:id="rId42"/>
    <hyperlink ref="AA13" r:id="rId43"/>
    <hyperlink ref="AM13" r:id="rId44"/>
    <hyperlink ref="AS13" r:id="rId45"/>
    <hyperlink ref="AY13" r:id="rId46"/>
    <hyperlink ref="BE13" r:id="rId47"/>
    <hyperlink ref="F14" r:id="rId48"/>
    <hyperlink ref="O14" r:id="rId49"/>
    <hyperlink ref="U14" r:id="rId50"/>
    <hyperlink ref="AA14" r:id="rId51"/>
    <hyperlink ref="AM14" r:id="rId52"/>
    <hyperlink ref="AS14" r:id="rId53"/>
    <hyperlink ref="AY14" r:id="rId54"/>
    <hyperlink ref="BE14" r:id="rId55"/>
    <hyperlink ref="F15" r:id="rId56"/>
    <hyperlink ref="O15" r:id="rId57"/>
    <hyperlink ref="U15" r:id="rId58"/>
    <hyperlink ref="AA15" r:id="rId59"/>
    <hyperlink ref="AM15" r:id="rId60"/>
    <hyperlink ref="AS15" r:id="rId61"/>
    <hyperlink ref="BE15" r:id="rId62"/>
    <hyperlink ref="F16" r:id="rId63"/>
    <hyperlink ref="U16" r:id="rId64"/>
    <hyperlink ref="AA16" r:id="rId65"/>
    <hyperlink ref="AM16" r:id="rId66"/>
    <hyperlink ref="AS16" r:id="rId67"/>
    <hyperlink ref="BE16" r:id="rId68"/>
    <hyperlink ref="F17" r:id="rId69"/>
    <hyperlink ref="O17" r:id="rId70"/>
    <hyperlink ref="U17" r:id="rId71"/>
    <hyperlink ref="AA17" r:id="rId72"/>
    <hyperlink ref="AM17" r:id="rId73"/>
    <hyperlink ref="AS17" r:id="rId74"/>
    <hyperlink ref="BE17" r:id="rId75"/>
    <hyperlink ref="F18" r:id="rId76"/>
    <hyperlink ref="O18" r:id="rId77"/>
    <hyperlink ref="U18" r:id="rId78"/>
    <hyperlink ref="AM18" r:id="rId79"/>
    <hyperlink ref="AS18" r:id="rId80"/>
    <hyperlink ref="BE18" r:id="rId81"/>
    <hyperlink ref="F19" r:id="rId82"/>
    <hyperlink ref="F20" r:id="rId83"/>
    <hyperlink ref="O20" r:id="rId84"/>
    <hyperlink ref="U20" r:id="rId85"/>
    <hyperlink ref="AA20" r:id="rId86"/>
    <hyperlink ref="AM20" r:id="rId87"/>
    <hyperlink ref="AS20" r:id="rId88"/>
    <hyperlink ref="AY20" r:id="rId89"/>
    <hyperlink ref="F21" r:id="rId90"/>
    <hyperlink ref="O21" r:id="rId91"/>
    <hyperlink ref="U21" r:id="rId92"/>
    <hyperlink ref="AA21" r:id="rId93"/>
    <hyperlink ref="AG21" r:id="rId94"/>
    <hyperlink ref="AM21" r:id="rId95"/>
    <hyperlink ref="AS21" r:id="rId96"/>
    <hyperlink ref="AY21" r:id="rId97"/>
    <hyperlink ref="BE21" r:id="rId98"/>
    <hyperlink ref="F22" r:id="rId99"/>
    <hyperlink ref="O22" r:id="rId100"/>
    <hyperlink ref="U22" r:id="rId101"/>
    <hyperlink ref="AA22" r:id="rId102"/>
    <hyperlink ref="AG22" r:id="rId103"/>
    <hyperlink ref="AM22" r:id="rId104"/>
    <hyperlink ref="AS22" r:id="rId105"/>
    <hyperlink ref="F23" r:id="rId106"/>
    <hyperlink ref="O23" r:id="rId107"/>
    <hyperlink ref="U23" r:id="rId108"/>
    <hyperlink ref="AA23" r:id="rId109"/>
    <hyperlink ref="AG23" r:id="rId110"/>
    <hyperlink ref="AM23" r:id="rId111"/>
    <hyperlink ref="AS23" r:id="rId112"/>
    <hyperlink ref="AY23" r:id="rId113"/>
    <hyperlink ref="F24" r:id="rId114"/>
    <hyperlink ref="O24" r:id="rId115"/>
    <hyperlink ref="U24" r:id="rId116"/>
    <hyperlink ref="AA24" r:id="rId117"/>
    <hyperlink ref="AG24" r:id="rId118"/>
    <hyperlink ref="AM24" r:id="rId119"/>
    <hyperlink ref="AS24" r:id="rId120"/>
    <hyperlink ref="AY24" r:id="rId121"/>
    <hyperlink ref="F25" r:id="rId122"/>
    <hyperlink ref="O25" r:id="rId123"/>
    <hyperlink ref="U25" r:id="rId124"/>
    <hyperlink ref="AA25" r:id="rId125"/>
    <hyperlink ref="AG25" r:id="rId126"/>
    <hyperlink ref="AM25" r:id="rId127"/>
    <hyperlink ref="AS25" r:id="rId128"/>
    <hyperlink ref="F26" r:id="rId129"/>
    <hyperlink ref="O26" r:id="rId130"/>
    <hyperlink ref="U26" r:id="rId131"/>
    <hyperlink ref="AA26" r:id="rId132"/>
    <hyperlink ref="AG26" r:id="rId133"/>
    <hyperlink ref="AM26" r:id="rId134"/>
    <hyperlink ref="AS26" r:id="rId135"/>
    <hyperlink ref="AY26" r:id="rId136"/>
    <hyperlink ref="F27" r:id="rId137"/>
    <hyperlink ref="O27" r:id="rId138"/>
    <hyperlink ref="U27" r:id="rId139"/>
    <hyperlink ref="AA27" r:id="rId140"/>
    <hyperlink ref="AG27" r:id="rId141"/>
    <hyperlink ref="AM27" r:id="rId142"/>
    <hyperlink ref="AS27" r:id="rId143"/>
    <hyperlink ref="F28" r:id="rId144"/>
    <hyperlink ref="O28" r:id="rId145"/>
    <hyperlink ref="U28" r:id="rId146"/>
    <hyperlink ref="AA28" r:id="rId147"/>
    <hyperlink ref="AG28" r:id="rId148"/>
    <hyperlink ref="AM28" r:id="rId149"/>
    <hyperlink ref="AS28" r:id="rId150"/>
    <hyperlink ref="AY28" r:id="rId151"/>
    <hyperlink ref="F29" r:id="rId152"/>
    <hyperlink ref="O29" r:id="rId153"/>
    <hyperlink ref="U29" r:id="rId154"/>
    <hyperlink ref="AA29" r:id="rId155"/>
    <hyperlink ref="AM29" r:id="rId156"/>
    <hyperlink ref="AS29" r:id="rId157"/>
    <hyperlink ref="AY29" r:id="rId158"/>
    <hyperlink ref="BE29" r:id="rId159"/>
    <hyperlink ref="F30" r:id="rId160"/>
    <hyperlink ref="O30" r:id="rId161"/>
    <hyperlink ref="U30" r:id="rId162"/>
    <hyperlink ref="AA30" r:id="rId163"/>
    <hyperlink ref="AM30" r:id="rId164"/>
    <hyperlink ref="AS30" r:id="rId165"/>
    <hyperlink ref="AY30" r:id="rId166"/>
    <hyperlink ref="BE30" r:id="rId167"/>
    <hyperlink ref="F31" r:id="rId168"/>
    <hyperlink ref="O31" r:id="rId169"/>
    <hyperlink ref="U31" r:id="rId170"/>
    <hyperlink ref="AA31" r:id="rId171"/>
    <hyperlink ref="AM31" r:id="rId172"/>
    <hyperlink ref="AS31" r:id="rId173"/>
    <hyperlink ref="AY31" r:id="rId174"/>
    <hyperlink ref="BE31" r:id="rId175"/>
    <hyperlink ref="F32" r:id="rId176"/>
    <hyperlink ref="O32" r:id="rId177"/>
    <hyperlink ref="U32" r:id="rId178"/>
    <hyperlink ref="AA32" r:id="rId179"/>
    <hyperlink ref="AG32" r:id="rId180"/>
    <hyperlink ref="AM32" r:id="rId181"/>
    <hyperlink ref="AS32" r:id="rId182"/>
    <hyperlink ref="AY32" r:id="rId183"/>
    <hyperlink ref="F33" r:id="rId184"/>
    <hyperlink ref="U33" r:id="rId185"/>
    <hyperlink ref="AA33" r:id="rId186"/>
    <hyperlink ref="AM33" r:id="rId187"/>
    <hyperlink ref="AS33" r:id="rId188"/>
    <hyperlink ref="J36" r:id="rId189"/>
    <hyperlink ref="P36" r:id="rId190"/>
    <hyperlink ref="V36" r:id="rId191"/>
    <hyperlink ref="AB36" r:id="rId192"/>
    <hyperlink ref="AH36" r:id="rId193"/>
    <hyperlink ref="AN36" r:id="rId194"/>
    <hyperlink ref="AT36" r:id="rId195"/>
    <hyperlink ref="AZ36" r:id="rId196"/>
  </hyperlinks>
  <pageMargins left="0.7" right="0.7" top="0.75" bottom="0.75" header="0.3" footer="0.3"/>
  <legacyDrawing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MainBoard</vt:lpstr>
      <vt:lpstr>'MainBoard'!BoardQty</vt:lpstr>
      <vt:lpstr>'MainBoard'!PURCHASE_DESCRIPTION</vt:lpstr>
      <vt:lpstr>'MainBoard'!TotalCost</vt:lpstr>
      <vt:lpstr>'MainBoard'!USD_GBP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2021-08-15T23:02:12Z</dcterms:created>
  <dcterms:modified xsi:type="dcterms:W3CDTF">2021-08-15T23:02:12Z</dcterms:modified>
</cp:coreProperties>
</file>