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5pdfjcn\Desktop\Water Demand Forecasting\"/>
    </mc:Choice>
  </mc:AlternateContent>
  <bookViews>
    <workbookView xWindow="0" yWindow="0" windowWidth="15132" windowHeight="8496" firstSheet="2" activeTab="4"/>
  </bookViews>
  <sheets>
    <sheet name="Table B1.1&amp;B1.2 Data" sheetId="1" r:id="rId1"/>
    <sheet name="Table B1.3&amp;B1.4 Weather" sheetId="4" r:id="rId2"/>
    <sheet name="Table B2.1&amp;B2.2 Trends" sheetId="2" r:id="rId3"/>
    <sheet name="Trend Answers" sheetId="8" r:id="rId4"/>
    <sheet name=" B3.1&amp;B3.2&amp;B3.3 Forecast" sheetId="3" r:id="rId5"/>
    <sheet name="Graph-Forecast" sheetId="5" r:id="rId6"/>
    <sheet name="Table B4.1" sheetId="6" r:id="rId7"/>
    <sheet name="Table B4.2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3" l="1"/>
  <c r="N30" i="3"/>
  <c r="I33" i="3"/>
  <c r="L27" i="3"/>
  <c r="K27" i="3"/>
  <c r="I30" i="3"/>
  <c r="I27" i="3"/>
  <c r="K24" i="4"/>
  <c r="L24" i="4"/>
  <c r="F19" i="1"/>
  <c r="F18" i="1"/>
  <c r="F17" i="1"/>
  <c r="F16" i="1"/>
  <c r="F15" i="1"/>
  <c r="F14" i="1"/>
  <c r="C21" i="1"/>
  <c r="I18" i="3"/>
  <c r="J18" i="3"/>
  <c r="K18" i="3"/>
  <c r="O18" i="3"/>
  <c r="I19" i="3"/>
  <c r="J19" i="3"/>
  <c r="K19" i="3"/>
  <c r="O19" i="3"/>
  <c r="I20" i="3"/>
  <c r="J20" i="3"/>
  <c r="K20" i="3"/>
  <c r="O20" i="3"/>
  <c r="I21" i="3"/>
  <c r="J21" i="3"/>
  <c r="K21" i="3"/>
  <c r="O21" i="3"/>
  <c r="O22" i="3"/>
  <c r="O23" i="3"/>
  <c r="G5" i="6"/>
  <c r="I16" i="3"/>
  <c r="J16" i="3"/>
  <c r="K16" i="3"/>
  <c r="G6" i="6"/>
  <c r="G7" i="6"/>
  <c r="H7" i="6"/>
  <c r="H6" i="6"/>
  <c r="N18" i="3"/>
  <c r="N19" i="3"/>
  <c r="N20" i="3"/>
  <c r="N21" i="3"/>
  <c r="N22" i="3"/>
  <c r="N23" i="3"/>
  <c r="D5" i="6"/>
  <c r="D6" i="6"/>
  <c r="D7" i="6"/>
  <c r="E7" i="6"/>
  <c r="E6" i="6"/>
  <c r="C7" i="6"/>
  <c r="C6" i="6"/>
  <c r="C5" i="6"/>
  <c r="I7" i="6"/>
  <c r="I6" i="6"/>
  <c r="H5" i="6"/>
  <c r="I5" i="6"/>
  <c r="H55" i="8"/>
  <c r="G55" i="8"/>
  <c r="F55" i="8"/>
  <c r="E55" i="8"/>
  <c r="D55" i="8"/>
  <c r="C55" i="8"/>
  <c r="H54" i="8"/>
  <c r="G54" i="8"/>
  <c r="F54" i="8"/>
  <c r="E54" i="8"/>
  <c r="D54" i="8"/>
  <c r="C54" i="8"/>
  <c r="L28" i="8"/>
  <c r="K28" i="8"/>
  <c r="J28" i="8"/>
  <c r="I28" i="8"/>
  <c r="H28" i="8"/>
  <c r="G28" i="8"/>
  <c r="F28" i="8"/>
  <c r="E28" i="8"/>
  <c r="D28" i="8"/>
  <c r="C28" i="8"/>
  <c r="L27" i="8"/>
  <c r="K27" i="8"/>
  <c r="J27" i="8"/>
  <c r="I27" i="8"/>
  <c r="H27" i="8"/>
  <c r="G27" i="8"/>
  <c r="F27" i="8"/>
  <c r="E27" i="8"/>
  <c r="D27" i="8"/>
  <c r="C27" i="8"/>
  <c r="E10" i="3"/>
  <c r="D10" i="3"/>
  <c r="E28" i="3"/>
  <c r="F28" i="3"/>
  <c r="F29" i="3"/>
  <c r="F31" i="3"/>
  <c r="F32" i="3"/>
  <c r="F33" i="3"/>
  <c r="E21" i="3"/>
  <c r="M21" i="3"/>
  <c r="E29" i="3"/>
  <c r="E31" i="3"/>
  <c r="E32" i="3"/>
  <c r="E33" i="3"/>
  <c r="D21" i="3"/>
  <c r="L21" i="3"/>
  <c r="E20" i="3"/>
  <c r="E19" i="3"/>
  <c r="I22" i="3"/>
  <c r="F35" i="3"/>
  <c r="M18" i="3"/>
  <c r="D15" i="5"/>
  <c r="M22" i="3"/>
  <c r="H15" i="5"/>
  <c r="E15" i="5"/>
  <c r="F15" i="5"/>
  <c r="G15" i="5"/>
  <c r="I15" i="5"/>
  <c r="E35" i="3"/>
  <c r="L18" i="3"/>
  <c r="D14" i="5"/>
  <c r="L22" i="3"/>
  <c r="H14" i="5"/>
  <c r="E14" i="5"/>
  <c r="F14" i="5"/>
  <c r="G14" i="5"/>
  <c r="I14" i="5"/>
  <c r="M16" i="3"/>
  <c r="O16" i="3"/>
  <c r="C15" i="5"/>
  <c r="L16" i="3"/>
  <c r="N16" i="3"/>
  <c r="C14" i="5"/>
  <c r="D13" i="5"/>
  <c r="E13" i="5"/>
  <c r="F13" i="5"/>
  <c r="G13" i="5"/>
  <c r="H13" i="5"/>
  <c r="I13" i="5"/>
  <c r="C13" i="5"/>
  <c r="D12" i="5"/>
  <c r="E12" i="5"/>
  <c r="F12" i="5"/>
  <c r="G12" i="5"/>
  <c r="H12" i="5"/>
  <c r="I12" i="5"/>
  <c r="C12" i="5"/>
  <c r="D11" i="5"/>
  <c r="E11" i="5"/>
  <c r="F11" i="5"/>
  <c r="G11" i="5"/>
  <c r="H11" i="5"/>
  <c r="I11" i="5"/>
  <c r="C11" i="5"/>
  <c r="D10" i="5"/>
  <c r="E10" i="5"/>
  <c r="F10" i="5"/>
  <c r="G10" i="5"/>
  <c r="H10" i="5"/>
  <c r="I10" i="5"/>
  <c r="C10" i="5"/>
  <c r="D9" i="5"/>
  <c r="E9" i="5"/>
  <c r="F9" i="5"/>
  <c r="G9" i="5"/>
  <c r="H9" i="5"/>
  <c r="I9" i="5"/>
  <c r="C9" i="5"/>
  <c r="D8" i="5"/>
  <c r="E8" i="5"/>
  <c r="F8" i="5"/>
  <c r="G8" i="5"/>
  <c r="H8" i="5"/>
  <c r="I8" i="5"/>
  <c r="C8" i="5"/>
  <c r="D7" i="5"/>
  <c r="E7" i="5"/>
  <c r="F7" i="5"/>
  <c r="G7" i="5"/>
  <c r="H7" i="5"/>
  <c r="I7" i="5"/>
  <c r="C7" i="5"/>
  <c r="D6" i="5"/>
  <c r="E6" i="5"/>
  <c r="F6" i="5"/>
  <c r="G6" i="5"/>
  <c r="H6" i="5"/>
  <c r="I6" i="5"/>
  <c r="C6" i="5"/>
  <c r="D5" i="5"/>
  <c r="E5" i="5"/>
  <c r="F5" i="5"/>
  <c r="G5" i="5"/>
  <c r="H5" i="5"/>
  <c r="I5" i="5"/>
  <c r="C5" i="5"/>
  <c r="I4" i="5"/>
  <c r="H4" i="5"/>
  <c r="G4" i="5"/>
  <c r="F4" i="5"/>
  <c r="E4" i="5"/>
  <c r="D4" i="5"/>
  <c r="C4" i="5"/>
  <c r="U14" i="2"/>
  <c r="U13" i="2"/>
  <c r="U12" i="2"/>
  <c r="U11" i="2"/>
  <c r="U10" i="2"/>
  <c r="U9" i="2"/>
  <c r="U8" i="2"/>
  <c r="U7" i="2"/>
  <c r="U6" i="2"/>
  <c r="U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E33" i="2"/>
  <c r="E32" i="2"/>
  <c r="E31" i="2"/>
  <c r="E30" i="2"/>
  <c r="E29" i="2"/>
  <c r="E28" i="2"/>
  <c r="E27" i="2"/>
  <c r="E26" i="2"/>
  <c r="E25" i="2"/>
  <c r="T14" i="2"/>
  <c r="T13" i="2"/>
  <c r="T12" i="2"/>
  <c r="T11" i="2"/>
  <c r="T10" i="2"/>
  <c r="T9" i="2"/>
  <c r="T8" i="2"/>
  <c r="T7" i="2"/>
  <c r="T6" i="2"/>
  <c r="T5" i="2"/>
  <c r="P14" i="2"/>
  <c r="P13" i="2"/>
  <c r="P12" i="2"/>
  <c r="P11" i="2"/>
  <c r="P10" i="2"/>
  <c r="P9" i="2"/>
  <c r="P8" i="2"/>
  <c r="P7" i="2"/>
  <c r="P6" i="2"/>
  <c r="P5" i="2"/>
  <c r="D35" i="2"/>
  <c r="M14" i="2"/>
  <c r="M5" i="2"/>
  <c r="M13" i="2"/>
  <c r="M12" i="2"/>
  <c r="M11" i="2"/>
  <c r="M10" i="2"/>
  <c r="M9" i="2"/>
  <c r="M8" i="2"/>
  <c r="M7" i="2"/>
  <c r="M6" i="2"/>
  <c r="F24" i="4"/>
  <c r="I24" i="4"/>
  <c r="J24" i="4"/>
  <c r="F23" i="4"/>
  <c r="I23" i="4"/>
  <c r="J23" i="4"/>
  <c r="F22" i="4"/>
  <c r="I22" i="4"/>
  <c r="J22" i="4"/>
  <c r="F21" i="4"/>
  <c r="I21" i="4"/>
  <c r="J21" i="4"/>
  <c r="F20" i="4"/>
  <c r="I20" i="4"/>
  <c r="J20" i="4"/>
  <c r="F19" i="4"/>
  <c r="I19" i="4"/>
  <c r="J19" i="4"/>
  <c r="F18" i="4"/>
  <c r="I18" i="4"/>
  <c r="J18" i="4"/>
  <c r="F17" i="4"/>
  <c r="I17" i="4"/>
  <c r="J17" i="4"/>
  <c r="F16" i="4"/>
  <c r="I16" i="4"/>
  <c r="J16" i="4"/>
  <c r="F15" i="4"/>
  <c r="I15" i="4"/>
  <c r="J15" i="4"/>
  <c r="F14" i="4"/>
  <c r="I14" i="4"/>
  <c r="J14" i="4"/>
  <c r="F13" i="4"/>
  <c r="I13" i="4"/>
  <c r="J13" i="4"/>
  <c r="F6" i="6"/>
  <c r="F7" i="6"/>
  <c r="E5" i="6"/>
  <c r="F5" i="6"/>
  <c r="E33" i="4"/>
  <c r="E34" i="4"/>
  <c r="E35" i="4"/>
  <c r="E32" i="4"/>
  <c r="E37" i="4"/>
  <c r="K23" i="3"/>
  <c r="M23" i="3"/>
  <c r="J23" i="3"/>
  <c r="L23" i="3"/>
</calcChain>
</file>

<file path=xl/sharedStrings.xml><?xml version="1.0" encoding="utf-8"?>
<sst xmlns="http://schemas.openxmlformats.org/spreadsheetml/2006/main" count="286" uniqueCount="188">
  <si>
    <t>Water Service Subareas</t>
  </si>
  <si>
    <t>Estimated 2015 Population Served</t>
  </si>
  <si>
    <t>Retail:</t>
  </si>
  <si>
    <t>Middle City proper</t>
  </si>
  <si>
    <t>Two retail areas</t>
  </si>
  <si>
    <t>Unincorporated areas</t>
  </si>
  <si>
    <t xml:space="preserve">Not reported </t>
  </si>
  <si>
    <t>Combined retail population served:</t>
  </si>
  <si>
    <t>?</t>
  </si>
  <si>
    <t>Wholesale:</t>
  </si>
  <si>
    <t>Three rural districts</t>
  </si>
  <si>
    <t>Combined wholesale population:</t>
  </si>
  <si>
    <t>Total verified population served</t>
  </si>
  <si>
    <t>Reported Population Served in 2015</t>
  </si>
  <si>
    <t>Table B1.1. Water Service Subareas of Middle City – Population Served</t>
  </si>
  <si>
    <t>Table B1.2. Middle City’s Annual Water Production, Deliveries and Sales in 2015</t>
  </si>
  <si>
    <t>Water Use Category</t>
  </si>
  <si>
    <t xml:space="preserve">Quantity, </t>
  </si>
  <si>
    <t>MGD, GPCD</t>
  </si>
  <si>
    <t>Total water production (treated water)</t>
  </si>
  <si>
    <t>Total retail sales (MGD)</t>
  </si>
  <si>
    <t>Residential</t>
  </si>
  <si>
    <t>Commercial</t>
  </si>
  <si>
    <t>Industrial</t>
  </si>
  <si>
    <t>Total wholesale deliveries (MGD)</t>
  </si>
  <si>
    <t>Total non-revenue water (MGD)</t>
  </si>
  <si>
    <t>CALCULATE/VERIFY:</t>
  </si>
  <si>
    <t>Calculated GPCD Rates</t>
  </si>
  <si>
    <t>Gross per capita use (production)</t>
  </si>
  <si>
    <t xml:space="preserve">Total retail sales per capita </t>
  </si>
  <si>
    <t>Total wholesale per capita</t>
  </si>
  <si>
    <t>Residential (retail) per capita</t>
  </si>
  <si>
    <t>Commercial (retail) per capita</t>
  </si>
  <si>
    <t>Industrial (retail) per capita</t>
  </si>
  <si>
    <t xml:space="preserve"> </t>
  </si>
  <si>
    <t>Year</t>
  </si>
  <si>
    <t>Total Population Served</t>
  </si>
  <si>
    <t>Total Production MGD</t>
  </si>
  <si>
    <t>Production GPCD</t>
  </si>
  <si>
    <t>Retail Population Served</t>
  </si>
  <si>
    <t>Retail Water Sales MGD</t>
  </si>
  <si>
    <t>Wholesale Population</t>
  </si>
  <si>
    <t>Wholesale Deliveries MGD</t>
  </si>
  <si>
    <t>Table B2.1. Historical Water Use and Population Served</t>
  </si>
  <si>
    <t>Retail Residential GPCD</t>
  </si>
  <si>
    <t>Retail Commercial GPCD</t>
  </si>
  <si>
    <t>Retail Industrial GPCD</t>
  </si>
  <si>
    <t>Wholesale GPCD</t>
  </si>
  <si>
    <t>NRW, %</t>
  </si>
  <si>
    <t>Table B2.2. Per Capita Water Use Disaggregated by Sectors</t>
  </si>
  <si>
    <t>No.</t>
  </si>
  <si>
    <t>Assumption</t>
  </si>
  <si>
    <t>County-based 2015-2040 annual growth rate in  population served</t>
  </si>
  <si>
    <t>--</t>
  </si>
  <si>
    <t>Reduced 2041-2065 growth rate of population served</t>
  </si>
  <si>
    <t>Constant per capita production at the 2015 weather-normalized value (reference forecast only)</t>
  </si>
  <si>
    <t>4.a</t>
  </si>
  <si>
    <t xml:space="preserve">     Retail population growth rate</t>
  </si>
  <si>
    <t>4.b</t>
  </si>
  <si>
    <t xml:space="preserve">     Wholesale population growth rate</t>
  </si>
  <si>
    <t>Residential conservation rates during 2015-2040 and during 2041-2065.</t>
  </si>
  <si>
    <t>Increase of future marginal price of water (in real terms)</t>
  </si>
  <si>
    <t>6.a</t>
  </si>
  <si>
    <t>Price elasticity of water demand</t>
  </si>
  <si>
    <t>Future climate projections:</t>
  </si>
  <si>
    <t>7.a</t>
  </si>
  <si>
    <t>7.b</t>
  </si>
  <si>
    <t>Air temperature elasticity</t>
  </si>
  <si>
    <t>7.c</t>
  </si>
  <si>
    <t>Annual precipitation (percent change in new normal)</t>
  </si>
  <si>
    <t>7.d</t>
  </si>
  <si>
    <t>Precipitation elasticity</t>
  </si>
  <si>
    <t xml:space="preserve">Constant per capita use rates in commercial and industrial sectors </t>
  </si>
  <si>
    <t>Per capita wholesale use adjusted using the retail residential adjustment factors</t>
  </si>
  <si>
    <t>Non-revenue water decreasing at annual rate</t>
  </si>
  <si>
    <t>Water Use Sector</t>
  </si>
  <si>
    <t>Population</t>
  </si>
  <si>
    <t>2065 Population</t>
  </si>
  <si>
    <t>MGD</t>
  </si>
  <si>
    <t>Production (Reference)</t>
  </si>
  <si>
    <t>Wholesale</t>
  </si>
  <si>
    <t>Non-Revenue</t>
  </si>
  <si>
    <t>Production (sum, average)</t>
  </si>
  <si>
    <t>2040 Population</t>
  </si>
  <si>
    <t>2040 Unit Use, GPCD</t>
  </si>
  <si>
    <t>2065 Unit Use, GPCD</t>
  </si>
  <si>
    <t>2040 Forecast MGD</t>
  </si>
  <si>
    <t>2065 Forecast MGD</t>
  </si>
  <si>
    <t>Table  B3.3 With Formulas</t>
  </si>
  <si>
    <t>2015 Population</t>
  </si>
  <si>
    <t>Parameter</t>
  </si>
  <si>
    <t>RESIDENTIAL USE FACTORS:</t>
  </si>
  <si>
    <t>Conservation adjustment</t>
  </si>
  <si>
    <t>Price adjustment</t>
  </si>
  <si>
    <t>Climate adjustments:</t>
  </si>
  <si>
    <t xml:space="preserve">     Air temperature</t>
  </si>
  <si>
    <t xml:space="preserve">     Precipitation</t>
  </si>
  <si>
    <t>RESIDENTIAL GPCD:</t>
  </si>
  <si>
    <t>Adjusted residential usage</t>
  </si>
  <si>
    <t>Air temperature (increase in new normal) °F</t>
  </si>
  <si>
    <t>Table B3.2. Modified Factor Forecast Parameters for Residential Sector (with formulas)</t>
  </si>
  <si>
    <t>Table B3.3. Calculated Reference Forecast and Disaggregate Factor Forecast for Middle City</t>
  </si>
  <si>
    <t>Combined M&amp;I</t>
  </si>
  <si>
    <t>Max. Temperature</t>
  </si>
  <si>
    <t>Precipitation</t>
  </si>
  <si>
    <t>n.a.</t>
  </si>
  <si>
    <t>Table B1.3. Estimated Elasticities of Maximum Temperature and Precipitation</t>
  </si>
  <si>
    <t>Table B1.4. Calculations for Adjusting Residential Use for Normal Weather Conditions</t>
  </si>
  <si>
    <t>Month</t>
  </si>
  <si>
    <t>Residential MG in 2015</t>
  </si>
  <si>
    <t>Temp. 2015</t>
  </si>
  <si>
    <t>Temp.</t>
  </si>
  <si>
    <t>Normal</t>
  </si>
  <si>
    <t>Ratio Temp.</t>
  </si>
  <si>
    <t>Precip. 2015</t>
  </si>
  <si>
    <t>Precip. Normal</t>
  </si>
  <si>
    <t>Ratio Prec.</t>
  </si>
  <si>
    <t>Residential MG Normal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</si>
  <si>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</si>
  <si>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</si>
  <si>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</si>
  <si>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</si>
  <si>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</si>
  <si>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</si>
  <si>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</si>
  <si>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</si>
  <si>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</si>
  <si>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</si>
  <si>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</si>
  <si>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</si>
  <si>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</si>
  <si>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Adj. Ratio</t>
  </si>
  <si>
    <t>CALCULATED ADJUSTMENTS</t>
  </si>
  <si>
    <t>Sector</t>
  </si>
  <si>
    <t>2015 GPCD</t>
  </si>
  <si>
    <t>Factor</t>
  </si>
  <si>
    <t>Adj. GPCD</t>
  </si>
  <si>
    <t>Normalized Residential GPCD = 55.3 gpcd * 0.9185 = 50.8 gpcd</t>
  </si>
  <si>
    <t>Normalized Retail Commercial GPCD = 44.1 gpcd * 0.9598 = 42.3 gpcd</t>
  </si>
  <si>
    <t>Normalized Retail Industrial GPCD = 27.8 gpcd * 0.9817 = 27.3 gpcd</t>
  </si>
  <si>
    <t>Normalized Total Production GPCD = 142.7 gpcd * 0.9458 = 135.0 gpcd</t>
  </si>
  <si>
    <t>Total Production</t>
  </si>
  <si>
    <t>Text examples:</t>
  </si>
  <si>
    <t>Total</t>
  </si>
  <si>
    <t>Table B4.1 Effects of Population Served and Per Capita Water Use</t>
  </si>
  <si>
    <t>Forecast</t>
  </si>
  <si>
    <t>Increase</t>
  </si>
  <si>
    <t>Percent</t>
  </si>
  <si>
    <t>Total MGD</t>
  </si>
  <si>
    <t>GPCD</t>
  </si>
  <si>
    <t>Total retail population</t>
  </si>
  <si>
    <t>NRW</t>
  </si>
  <si>
    <r>
      <rPr>
        <sz val="9"/>
        <rFont val="Arial"/>
        <family val="2"/>
      </rPr>
      <t>Four</t>
    </r>
    <r>
      <rPr>
        <sz val="9"/>
        <color rgb="FFFF0000"/>
        <rFont val="Arial"/>
        <family val="2"/>
      </rPr>
      <t xml:space="preserve"> </t>
    </r>
    <r>
      <rPr>
        <sz val="9"/>
        <color theme="1"/>
        <rFont val="Arial"/>
        <family val="2"/>
      </rPr>
      <t>nearby towns</t>
    </r>
  </si>
  <si>
    <r>
      <t>Normalized Wholesale GPCD = 103.4 gpcd *</t>
    </r>
    <r>
      <rPr>
        <sz val="11"/>
        <rFont val="Calibri"/>
        <family val="2"/>
        <scheme val="minor"/>
      </rPr>
      <t xml:space="preserve"> 0.9185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rFont val="Calibri"/>
        <family val="2"/>
        <scheme val="minor"/>
      </rPr>
      <t>95.0</t>
    </r>
    <r>
      <rPr>
        <sz val="11"/>
        <color theme="1"/>
        <rFont val="Calibri"/>
        <family val="2"/>
        <scheme val="minor"/>
      </rPr>
      <t xml:space="preserve"> gpcd</t>
    </r>
  </si>
  <si>
    <t>Annual Change</t>
  </si>
  <si>
    <t>Annual Rate</t>
  </si>
  <si>
    <t>Convert the pasted values into linear trend values (Home/Fill/Series/select both Linear and Trend/ok).</t>
  </si>
  <si>
    <t>Copy &amp; Paste Annual Rate formula [yellow highlight] below trend values.</t>
  </si>
  <si>
    <t>Copy &amp; Paste Annual Change formula [yellow highlight] beside trend values.</t>
  </si>
  <si>
    <t>How to calculate linear annual trend:</t>
  </si>
  <si>
    <t>How to illustrate linear annual trend:</t>
  </si>
  <si>
    <t>Paste as Values in an open space below.</t>
  </si>
  <si>
    <t>Select a data series (column) from above.</t>
  </si>
  <si>
    <t>Create Line graph of series.</t>
  </si>
  <si>
    <t xml:space="preserve">Select a data series (column) from above. </t>
  </si>
  <si>
    <t>Add Chart Title and label axes.</t>
  </si>
  <si>
    <t xml:space="preserve">Select a data series inside chart. </t>
  </si>
  <si>
    <t>Right Click, select Add Trend Line.</t>
  </si>
  <si>
    <t>Select both Display Equation and Display R-square.</t>
  </si>
  <si>
    <t>Residential   MGD</t>
  </si>
  <si>
    <t>Commercial   MGD</t>
  </si>
  <si>
    <t>Industrial   MGD</t>
  </si>
  <si>
    <t>Ratio of wholesale population annual growth rate to retail population growth rate:</t>
  </si>
  <si>
    <t>Table B3.1 Summary of Forecast Assumptions</t>
  </si>
  <si>
    <t>NOTE: The values in this Table will change if values in Table B3.1 are changed. Then compare with Table above.</t>
  </si>
  <si>
    <t>Original Data</t>
  </si>
  <si>
    <t>Linear Trend</t>
  </si>
  <si>
    <t>Combined adjustment factor</t>
  </si>
  <si>
    <t>Uncertainty Rank</t>
  </si>
  <si>
    <t>County-based 2015-2040 annual growth rate in population served</t>
  </si>
  <si>
    <t>Annual growth rate of wholesale population 3 times the growth rate of retail population served:</t>
  </si>
  <si>
    <t>Air temperature (increase in new normal)</t>
  </si>
  <si>
    <t>+2.7 °F</t>
  </si>
  <si>
    <t>+5.2 °F</t>
  </si>
  <si>
    <t>Q4</t>
  </si>
  <si>
    <t>Q2</t>
  </si>
  <si>
    <t>Total annual volume of water used in retail annual adjusted</t>
  </si>
  <si>
    <t>Adjustment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</si>
</sst>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  <numFmt numFmtId="168" formatCode="0.0"/>
    <numFmt numFmtId="169" formatCode="0.000"/>
    <numFmt numFmtId="170" formatCode="0.0000"/>
    <numFmt numFmtId="171" formatCode="_(* #,##0.0000_);_(* \(#,##0.0000\);_(* &quot;-&quot;??_);_(@_)"/>
    <numFmt numFmtId="172" formatCode="0.000%"/>
    <numFmt numFmtId="173" formatCode="#,##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529B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529B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color rgb="FFFF0000"/>
      <name val="Arial"/>
      <family val="2"/>
    </font>
    <font>
      <sz val="9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/>
    </xf>
    <xf numFmtId="3" fontId="5" fillId="0" borderId="4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10" fontId="0" fillId="2" borderId="0" xfId="2" applyNumberFormat="1" applyFont="1" applyFill="1"/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9" fontId="3" fillId="0" borderId="4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3" fontId="5" fillId="0" borderId="7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3" fontId="3" fillId="0" borderId="7" xfId="0" applyNumberFormat="1" applyFont="1" applyBorder="1" applyAlignment="1">
      <alignment horizontal="right" vertical="center"/>
    </xf>
    <xf numFmtId="166" fontId="0" fillId="0" borderId="0" xfId="1" applyNumberFormat="1" applyFont="1"/>
    <xf numFmtId="167" fontId="5" fillId="0" borderId="7" xfId="1" applyNumberFormat="1" applyFont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165" fontId="5" fillId="0" borderId="7" xfId="0" applyNumberFormat="1" applyFont="1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164" fontId="5" fillId="0" borderId="7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170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right" vertical="center" wrapText="1"/>
    </xf>
    <xf numFmtId="2" fontId="5" fillId="0" borderId="7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7" xfId="0" applyFont="1" applyBorder="1" applyAlignment="1">
      <alignment horizontal="center" wrapText="1"/>
    </xf>
    <xf numFmtId="0" fontId="3" fillId="0" borderId="7" xfId="0" applyFont="1" applyBorder="1"/>
    <xf numFmtId="3" fontId="3" fillId="0" borderId="7" xfId="0" applyNumberFormat="1" applyFont="1" applyBorder="1"/>
    <xf numFmtId="166" fontId="3" fillId="0" borderId="7" xfId="1" applyNumberFormat="1" applyFont="1" applyBorder="1" applyAlignment="1">
      <alignment vertical="center"/>
    </xf>
    <xf numFmtId="164" fontId="3" fillId="0" borderId="7" xfId="2" applyNumberFormat="1" applyFont="1" applyBorder="1"/>
    <xf numFmtId="169" fontId="3" fillId="0" borderId="7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4" fontId="4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/>
    <xf numFmtId="0" fontId="5" fillId="0" borderId="7" xfId="0" applyFont="1" applyFill="1" applyBorder="1" applyAlignment="1">
      <alignment vertical="center" wrapText="1"/>
    </xf>
    <xf numFmtId="169" fontId="5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right" vertical="center" wrapText="1"/>
    </xf>
    <xf numFmtId="169" fontId="5" fillId="0" borderId="0" xfId="0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43" fontId="9" fillId="0" borderId="0" xfId="1" applyFont="1"/>
    <xf numFmtId="164" fontId="9" fillId="0" borderId="0" xfId="2" applyNumberFormat="1" applyFont="1"/>
    <xf numFmtId="3" fontId="9" fillId="0" borderId="0" xfId="0" applyNumberFormat="1" applyFont="1"/>
    <xf numFmtId="172" fontId="9" fillId="0" borderId="0" xfId="2" applyNumberFormat="1" applyFont="1"/>
    <xf numFmtId="0" fontId="9" fillId="0" borderId="0" xfId="0" applyFont="1"/>
    <xf numFmtId="3" fontId="11" fillId="0" borderId="4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71" fontId="3" fillId="0" borderId="9" xfId="1" applyNumberFormat="1" applyFont="1" applyBorder="1"/>
    <xf numFmtId="0" fontId="5" fillId="0" borderId="2" xfId="0" applyFont="1" applyBorder="1" applyAlignment="1">
      <alignment horizontal="right" vertical="center"/>
    </xf>
    <xf numFmtId="43" fontId="3" fillId="0" borderId="6" xfId="1" applyFont="1" applyBorder="1"/>
    <xf numFmtId="0" fontId="5" fillId="0" borderId="3" xfId="0" applyFont="1" applyBorder="1" applyAlignment="1">
      <alignment horizontal="right" vertical="center"/>
    </xf>
    <xf numFmtId="171" fontId="3" fillId="0" borderId="10" xfId="1" applyNumberFormat="1" applyFont="1" applyBorder="1"/>
    <xf numFmtId="43" fontId="3" fillId="0" borderId="4" xfId="1" applyFont="1" applyBorder="1"/>
    <xf numFmtId="0" fontId="5" fillId="0" borderId="6" xfId="0" applyFont="1" applyBorder="1" applyAlignment="1">
      <alignment horizontal="right" vertical="center"/>
    </xf>
    <xf numFmtId="171" fontId="3" fillId="0" borderId="11" xfId="1" applyNumberFormat="1" applyFont="1" applyBorder="1"/>
    <xf numFmtId="171" fontId="3" fillId="0" borderId="12" xfId="1" applyNumberFormat="1" applyFont="1" applyBorder="1"/>
    <xf numFmtId="171" fontId="3" fillId="0" borderId="13" xfId="1" applyNumberFormat="1" applyFont="1" applyBorder="1"/>
    <xf numFmtId="43" fontId="3" fillId="0" borderId="2" xfId="1" applyFont="1" applyBorder="1"/>
    <xf numFmtId="0" fontId="5" fillId="0" borderId="5" xfId="0" applyFont="1" applyBorder="1" applyAlignment="1">
      <alignment horizontal="right" vertical="center"/>
    </xf>
    <xf numFmtId="171" fontId="3" fillId="0" borderId="6" xfId="1" applyNumberFormat="1" applyFont="1" applyBorder="1"/>
    <xf numFmtId="171" fontId="3" fillId="0" borderId="2" xfId="1" applyNumberFormat="1" applyFont="1" applyBorder="1"/>
    <xf numFmtId="171" fontId="3" fillId="0" borderId="4" xfId="1" applyNumberFormat="1" applyFont="1" applyBorder="1"/>
    <xf numFmtId="0" fontId="0" fillId="0" borderId="0" xfId="0" applyFill="1"/>
    <xf numFmtId="10" fontId="0" fillId="0" borderId="0" xfId="2" applyNumberFormat="1" applyFont="1" applyFill="1"/>
    <xf numFmtId="0" fontId="11" fillId="0" borderId="1" xfId="0" applyFont="1" applyFill="1" applyBorder="1" applyAlignment="1">
      <alignment horizontal="center" vertical="center" wrapText="1"/>
    </xf>
    <xf numFmtId="167" fontId="12" fillId="0" borderId="1" xfId="1" applyNumberFormat="1" applyFont="1" applyFill="1" applyBorder="1"/>
    <xf numFmtId="165" fontId="3" fillId="0" borderId="4" xfId="1" applyNumberFormat="1" applyFont="1" applyBorder="1" applyAlignment="1">
      <alignment horizontal="right" vertical="center"/>
    </xf>
    <xf numFmtId="168" fontId="3" fillId="0" borderId="4" xfId="0" applyNumberFormat="1" applyFont="1" applyBorder="1" applyAlignment="1">
      <alignment horizontal="right" vertical="center"/>
    </xf>
    <xf numFmtId="169" fontId="3" fillId="0" borderId="4" xfId="0" applyNumberFormat="1" applyFont="1" applyBorder="1" applyAlignment="1">
      <alignment horizontal="right" vertical="center"/>
    </xf>
    <xf numFmtId="164" fontId="3" fillId="0" borderId="4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wrapText="1"/>
    </xf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/>
    </xf>
    <xf numFmtId="0" fontId="0" fillId="2" borderId="20" xfId="0" applyFill="1" applyBorder="1" applyAlignment="1">
      <alignment horizontal="center" wrapText="1"/>
    </xf>
    <xf numFmtId="0" fontId="0" fillId="2" borderId="20" xfId="0" applyFill="1" applyBorder="1"/>
    <xf numFmtId="173" fontId="0" fillId="2" borderId="20" xfId="0" applyNumberFormat="1" applyFill="1" applyBorder="1"/>
    <xf numFmtId="43" fontId="3" fillId="0" borderId="7" xfId="1" applyFont="1" applyBorder="1" applyAlignment="1">
      <alignment horizontal="right" vertical="center"/>
    </xf>
    <xf numFmtId="166" fontId="0" fillId="0" borderId="2" xfId="1" applyNumberFormat="1" applyFont="1" applyBorder="1"/>
    <xf numFmtId="0" fontId="0" fillId="0" borderId="1" xfId="0" applyBorder="1"/>
    <xf numFmtId="2" fontId="0" fillId="0" borderId="1" xfId="0" applyNumberFormat="1" applyBorder="1"/>
    <xf numFmtId="0" fontId="5" fillId="0" borderId="1" xfId="0" applyFont="1" applyBorder="1" applyAlignment="1">
      <alignment horizontal="center" vertical="center" wrapText="1"/>
    </xf>
    <xf numFmtId="2" fontId="0" fillId="0" borderId="15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0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3" xfId="0" applyNumberFormat="1" applyBorder="1"/>
    <xf numFmtId="2" fontId="0" fillId="0" borderId="19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9" fontId="3" fillId="0" borderId="4" xfId="0" applyNumberFormat="1" applyFont="1" applyBorder="1" applyAlignment="1">
      <alignment horizontal="right" vertical="center" wrapText="1"/>
    </xf>
    <xf numFmtId="168" fontId="3" fillId="0" borderId="4" xfId="0" applyNumberFormat="1" applyFont="1" applyBorder="1" applyAlignment="1">
      <alignment horizontal="right" vertical="center" wrapText="1"/>
    </xf>
    <xf numFmtId="168" fontId="3" fillId="0" borderId="8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169" fontId="5" fillId="0" borderId="7" xfId="0" applyNumberFormat="1" applyFont="1" applyBorder="1" applyAlignment="1">
      <alignment horizontal="right" vertical="center" wrapText="1"/>
    </xf>
    <xf numFmtId="168" fontId="5" fillId="0" borderId="7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3" fontId="11" fillId="0" borderId="7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horizontal="right" vertical="center" wrapText="1"/>
    </xf>
    <xf numFmtId="0" fontId="3" fillId="5" borderId="4" xfId="0" applyFont="1" applyFill="1" applyBorder="1" applyAlignment="1">
      <alignment horizontal="right" vertical="center" wrapText="1"/>
    </xf>
    <xf numFmtId="0" fontId="3" fillId="5" borderId="14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right" vertical="center" wrapText="1"/>
    </xf>
    <xf numFmtId="168" fontId="5" fillId="0" borderId="4" xfId="0" applyNumberFormat="1" applyFont="1" applyBorder="1" applyAlignment="1">
      <alignment horizontal="right" vertical="center" wrapText="1"/>
    </xf>
    <xf numFmtId="0" fontId="13" fillId="0" borderId="0" xfId="0" applyFont="1"/>
    <xf numFmtId="0" fontId="7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3" fontId="3" fillId="0" borderId="1" xfId="0" applyNumberFormat="1" applyFont="1" applyBorder="1"/>
    <xf numFmtId="166" fontId="3" fillId="0" borderId="1" xfId="1" applyNumberFormat="1" applyFont="1" applyBorder="1" applyAlignment="1">
      <alignment vertical="center"/>
    </xf>
    <xf numFmtId="164" fontId="3" fillId="0" borderId="1" xfId="2" applyNumberFormat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0" borderId="0" xfId="0" applyAlignment="1">
      <alignment horizontal="right"/>
    </xf>
    <xf numFmtId="167" fontId="0" fillId="0" borderId="0" xfId="1" applyNumberFormat="1" applyFont="1"/>
    <xf numFmtId="166" fontId="3" fillId="0" borderId="4" xfId="1" applyNumberFormat="1" applyFont="1" applyBorder="1" applyAlignment="1">
      <alignment horizontal="right" vertical="center"/>
    </xf>
    <xf numFmtId="168" fontId="3" fillId="0" borderId="4" xfId="1" applyNumberFormat="1" applyFont="1" applyBorder="1" applyAlignment="1">
      <alignment horizontal="right" vertical="center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3" fontId="0" fillId="0" borderId="0" xfId="0" applyNumberFormat="1"/>
    <xf numFmtId="3" fontId="0" fillId="0" borderId="26" xfId="0" applyNumberFormat="1" applyBorder="1"/>
    <xf numFmtId="0" fontId="3" fillId="0" borderId="12" xfId="0" applyFont="1" applyBorder="1" applyAlignment="1">
      <alignment vertical="center"/>
    </xf>
    <xf numFmtId="43" fontId="0" fillId="0" borderId="0" xfId="0" applyNumberFormat="1"/>
    <xf numFmtId="0" fontId="3" fillId="0" borderId="8" xfId="0" applyFont="1" applyBorder="1" applyAlignment="1">
      <alignment horizontal="right" vertical="center"/>
    </xf>
    <xf numFmtId="168" fontId="0" fillId="0" borderId="7" xfId="0" applyNumberFormat="1" applyBorder="1"/>
    <xf numFmtId="168" fontId="4" fillId="0" borderId="7" xfId="0" applyNumberFormat="1" applyFont="1" applyBorder="1" applyAlignment="1">
      <alignment horizontal="right" vertical="center"/>
    </xf>
    <xf numFmtId="165" fontId="0" fillId="0" borderId="7" xfId="0" applyNumberFormat="1" applyBorder="1"/>
    <xf numFmtId="171" fontId="9" fillId="0" borderId="0" xfId="1" applyNumberFormat="1" applyFont="1"/>
    <xf numFmtId="3" fontId="10" fillId="0" borderId="7" xfId="0" applyNumberFormat="1" applyFont="1" applyBorder="1" applyAlignment="1">
      <alignment horizontal="right" vertical="center" wrapText="1"/>
    </xf>
    <xf numFmtId="0" fontId="14" fillId="0" borderId="7" xfId="0" applyFont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B2.1&amp;B2.2 Trends'!$E$4</c:f>
              <c:strCache>
                <c:ptCount val="1"/>
                <c:pt idx="0">
                  <c:v>Total Production MGD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21259842519686"/>
                  <c:y val="-9.82050160396617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0.1704x - 320.3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0.2462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B2.1&amp;B2.2 Trends'!$C$5:$C$14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'Table B2.1&amp;B2.2 Trends'!$E$5:$E$14</c:f>
              <c:numCache>
                <c:formatCode>0.000</c:formatCode>
                <c:ptCount val="10"/>
                <c:pt idx="0">
                  <c:v>21.177</c:v>
                </c:pt>
                <c:pt idx="1">
                  <c:v>22.934000000000001</c:v>
                </c:pt>
                <c:pt idx="2">
                  <c:v>22.427</c:v>
                </c:pt>
                <c:pt idx="3">
                  <c:v>23.631</c:v>
                </c:pt>
                <c:pt idx="4">
                  <c:v>20.978999999999999</c:v>
                </c:pt>
                <c:pt idx="5">
                  <c:v>21.39</c:v>
                </c:pt>
                <c:pt idx="6">
                  <c:v>22.835000000000001</c:v>
                </c:pt>
                <c:pt idx="7">
                  <c:v>23.07</c:v>
                </c:pt>
                <c:pt idx="8">
                  <c:v>23.260999999999999</c:v>
                </c:pt>
                <c:pt idx="9">
                  <c:v>23.91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68E-4055-87CC-FB10BEAE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19104"/>
        <c:axId val="389820672"/>
      </c:scatterChart>
      <c:valAx>
        <c:axId val="3898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20672"/>
        <c:crosses val="autoZero"/>
        <c:crossBetween val="midCat"/>
      </c:valAx>
      <c:valAx>
        <c:axId val="3898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Forecasts (MGD)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'Graph-Forecast'!$C$3</c:f>
              <c:strCache>
                <c:ptCount val="1"/>
                <c:pt idx="0">
                  <c:v>Production (Reference)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'Graph-Forecast'!$C$4:$C$15</c:f>
              <c:numCache>
                <c:formatCode>0.00</c:formatCode>
                <c:ptCount val="12"/>
                <c:pt idx="0">
                  <c:v>21.177</c:v>
                </c:pt>
                <c:pt idx="1">
                  <c:v>22.934000000000001</c:v>
                </c:pt>
                <c:pt idx="2">
                  <c:v>22.427</c:v>
                </c:pt>
                <c:pt idx="3">
                  <c:v>23.631</c:v>
                </c:pt>
                <c:pt idx="4">
                  <c:v>20.978999999999999</c:v>
                </c:pt>
                <c:pt idx="5">
                  <c:v>21.39</c:v>
                </c:pt>
                <c:pt idx="6">
                  <c:v>22.835000000000001</c:v>
                </c:pt>
                <c:pt idx="7">
                  <c:v>23.07</c:v>
                </c:pt>
                <c:pt idx="8">
                  <c:v>23.260999999999999</c:v>
                </c:pt>
                <c:pt idx="9">
                  <c:v>23.91</c:v>
                </c:pt>
                <c:pt idx="10">
                  <c:v>24.932519088868833</c:v>
                </c:pt>
                <c:pt idx="11">
                  <c:v>26.871350003753815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0C-47AE-A96E-85A7561B6160}"/>
            </c:ext>
          </c:extLst>
        </c:ser>
        <c:ser>
          <c:idx val="1"/>
          <c:order val="1"/>
          <c:tx>
            <c:strRef>
              <c:f>'Graph-Forecast'!$D$3</c:f>
              <c:strCache>
                <c:ptCount val="1"/>
                <c:pt idx="0">
                  <c:v>Residential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'Graph-Forecast'!$D$4:$D$15</c:f>
              <c:numCache>
                <c:formatCode>0.00</c:formatCode>
                <c:ptCount val="12"/>
                <c:pt idx="0">
                  <c:v>8.2233261483230997</c:v>
                </c:pt>
                <c:pt idx="1">
                  <c:v>8.60479424109589</c:v>
                </c:pt>
                <c:pt idx="2">
                  <c:v>8.2238573095890413</c:v>
                </c:pt>
                <c:pt idx="3">
                  <c:v>8.3653440712328759</c:v>
                </c:pt>
                <c:pt idx="4">
                  <c:v>7.415357854133207</c:v>
                </c:pt>
                <c:pt idx="5">
                  <c:v>7.149666641534246</c:v>
                </c:pt>
                <c:pt idx="6">
                  <c:v>7.2402373095890402</c:v>
                </c:pt>
                <c:pt idx="7">
                  <c:v>7.2901196261917818</c:v>
                </c:pt>
                <c:pt idx="8">
                  <c:v>7.3585779055266878</c:v>
                </c:pt>
                <c:pt idx="9">
                  <c:v>6.6732061753424654</c:v>
                </c:pt>
                <c:pt idx="10">
                  <c:v>7.0045663760610024</c:v>
                </c:pt>
                <c:pt idx="11">
                  <c:v>7.3617090650182844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0C-47AE-A96E-85A7561B6160}"/>
            </c:ext>
          </c:extLst>
        </c:ser>
        <c:ser>
          <c:idx val="2"/>
          <c:order val="2"/>
          <c:tx>
            <c:strRef>
              <c:f>'Graph-Forecast'!$E$3</c:f>
              <c:strCache>
                <c:ptCount val="1"/>
                <c:pt idx="0">
                  <c:v>Commercial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'Graph-Forecast'!$E$4:$E$15</c:f>
              <c:numCache>
                <c:formatCode>0.00</c:formatCode>
                <c:ptCount val="12"/>
                <c:pt idx="0">
                  <c:v>5.442679643268777</c:v>
                </c:pt>
                <c:pt idx="1">
                  <c:v>5.9323254958904101</c:v>
                </c:pt>
                <c:pt idx="2">
                  <c:v>5.8286660164383557</c:v>
                </c:pt>
                <c:pt idx="3">
                  <c:v>6.1315004767123282</c:v>
                </c:pt>
                <c:pt idx="4">
                  <c:v>5.321988200283422</c:v>
                </c:pt>
                <c:pt idx="5">
                  <c:v>5.2174547232876716</c:v>
                </c:pt>
                <c:pt idx="6">
                  <c:v>5.5236295671232876</c:v>
                </c:pt>
                <c:pt idx="7">
                  <c:v>5.6965979068493153</c:v>
                </c:pt>
                <c:pt idx="8">
                  <c:v>5.8762813421993387</c:v>
                </c:pt>
                <c:pt idx="9">
                  <c:v>5.923</c:v>
                </c:pt>
                <c:pt idx="10">
                  <c:v>6.1568294466466584</c:v>
                </c:pt>
                <c:pt idx="11">
                  <c:v>6.4854766812973397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0C-47AE-A96E-85A7561B6160}"/>
            </c:ext>
          </c:extLst>
        </c:ser>
        <c:ser>
          <c:idx val="3"/>
          <c:order val="3"/>
          <c:tx>
            <c:strRef>
              <c:f>'Graph-Forecast'!$F$3</c:f>
              <c:strCache>
                <c:ptCount val="1"/>
                <c:pt idx="0">
                  <c:v>Industrial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'Graph-Forecast'!$F$4:$F$15</c:f>
              <c:numCache>
                <c:formatCode>0.00</c:formatCode>
                <c:ptCount val="12"/>
                <c:pt idx="0">
                  <c:v>2.2893373505904582</c:v>
                </c:pt>
                <c:pt idx="1">
                  <c:v>2.5139224602739727</c:v>
                </c:pt>
                <c:pt idx="2">
                  <c:v>2.4869155616438356</c:v>
                </c:pt>
                <c:pt idx="3">
                  <c:v>2.5550112273972601</c:v>
                </c:pt>
                <c:pt idx="4">
                  <c:v>2.4238195886632026</c:v>
                </c:pt>
                <c:pt idx="5">
                  <c:v>3.0928929041095889</c:v>
                </c:pt>
                <c:pt idx="6">
                  <c:v>3.8831784712328767</c:v>
                </c:pt>
                <c:pt idx="7">
                  <c:v>3.8583182301369865</c:v>
                </c:pt>
                <c:pt idx="8">
                  <c:v>3.7001226607463389</c:v>
                </c:pt>
                <c:pt idx="9">
                  <c:v>3.8437322301369865</c:v>
                </c:pt>
                <c:pt idx="10">
                  <c:v>3.9735565932258581</c:v>
                </c:pt>
                <c:pt idx="11">
                  <c:v>4.1856622553053757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80C-47AE-A96E-85A7561B6160}"/>
            </c:ext>
          </c:extLst>
        </c:ser>
        <c:ser>
          <c:idx val="4"/>
          <c:order val="4"/>
          <c:tx>
            <c:strRef>
              <c:f>'Graph-Forecast'!$G$3</c:f>
              <c:strCache>
                <c:ptCount val="1"/>
                <c:pt idx="0">
                  <c:v>Wholesale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'Graph-Forecast'!$G$4:$G$15</c:f>
              <c:numCache>
                <c:formatCode>0.00</c:formatCode>
                <c:ptCount val="12"/>
                <c:pt idx="0">
                  <c:v>1.7270000000000001</c:v>
                </c:pt>
                <c:pt idx="1">
                  <c:v>1.984</c:v>
                </c:pt>
                <c:pt idx="2">
                  <c:v>2.0750000000000002</c:v>
                </c:pt>
                <c:pt idx="3">
                  <c:v>2.089</c:v>
                </c:pt>
                <c:pt idx="4">
                  <c:v>2.4609999999999999</c:v>
                </c:pt>
                <c:pt idx="5">
                  <c:v>2.7210000000000001</c:v>
                </c:pt>
                <c:pt idx="6">
                  <c:v>2.8769999999999998</c:v>
                </c:pt>
                <c:pt idx="7">
                  <c:v>2.996</c:v>
                </c:pt>
                <c:pt idx="8">
                  <c:v>3.0960000000000001</c:v>
                </c:pt>
                <c:pt idx="9">
                  <c:v>3.6280000000000001</c:v>
                </c:pt>
                <c:pt idx="10">
                  <c:v>3.5218584774167216</c:v>
                </c:pt>
                <c:pt idx="11">
                  <c:v>4.1058057812355546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80C-47AE-A96E-85A7561B6160}"/>
            </c:ext>
          </c:extLst>
        </c:ser>
        <c:ser>
          <c:idx val="5"/>
          <c:order val="5"/>
          <c:tx>
            <c:strRef>
              <c:f>'Graph-Forecast'!$H$3</c:f>
              <c:strCache>
                <c:ptCount val="1"/>
                <c:pt idx="0">
                  <c:v>Non-Revenue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'Graph-Forecast'!$H$4:$H$15</c:f>
              <c:numCache>
                <c:formatCode>0.00</c:formatCode>
                <c:ptCount val="12"/>
                <c:pt idx="0">
                  <c:v>3.4949999999999992</c:v>
                </c:pt>
                <c:pt idx="1">
                  <c:v>3.8990000000000027</c:v>
                </c:pt>
                <c:pt idx="2">
                  <c:v>3.8129999999999979</c:v>
                </c:pt>
                <c:pt idx="3">
                  <c:v>4.49</c:v>
                </c:pt>
                <c:pt idx="4">
                  <c:v>3.3569999999999998</c:v>
                </c:pt>
                <c:pt idx="5">
                  <c:v>3.2089999999999996</c:v>
                </c:pt>
                <c:pt idx="6">
                  <c:v>3.3110000000000026</c:v>
                </c:pt>
                <c:pt idx="7">
                  <c:v>3.2290000000000014</c:v>
                </c:pt>
                <c:pt idx="8">
                  <c:v>3.2300000000000004</c:v>
                </c:pt>
                <c:pt idx="9">
                  <c:v>3.8419999999999987</c:v>
                </c:pt>
                <c:pt idx="10">
                  <c:v>3.3694215677160528</c:v>
                </c:pt>
                <c:pt idx="11">
                  <c:v>3.1257623966755688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80C-47AE-A96E-85A7561B6160}"/>
            </c:ext>
          </c:extLst>
        </c:ser>
        <c:ser>
          <c:idx val="6"/>
          <c:order val="6"/>
          <c:tx>
            <c:strRef>
              <c:f>'Graph-Forecast'!$I$3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'Graph-Forecast'!$I$4:$I$15</c:f>
              <c:numCache>
                <c:formatCode>0.00</c:formatCode>
                <c:ptCount val="12"/>
                <c:pt idx="0">
                  <c:v>21.17734314218233</c:v>
                </c:pt>
                <c:pt idx="1">
                  <c:v>22.934042197260275</c:v>
                </c:pt>
                <c:pt idx="2">
                  <c:v>22.427438887671233</c:v>
                </c:pt>
                <c:pt idx="3">
                  <c:v>23.630855775342461</c:v>
                </c:pt>
                <c:pt idx="4">
                  <c:v>20.979165643079831</c:v>
                </c:pt>
                <c:pt idx="5">
                  <c:v>21.390014268931505</c:v>
                </c:pt>
                <c:pt idx="6">
                  <c:v>22.835045347945208</c:v>
                </c:pt>
                <c:pt idx="7">
                  <c:v>23.070035763178087</c:v>
                </c:pt>
                <c:pt idx="8">
                  <c:v>23.260981908472367</c:v>
                </c:pt>
                <c:pt idx="9">
                  <c:v>23.909938405479451</c:v>
                </c:pt>
                <c:pt idx="10">
                  <c:v>24.026232461066293</c:v>
                </c:pt>
                <c:pt idx="11">
                  <c:v>25.26441617953212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80C-47AE-A96E-85A7561B6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22240"/>
        <c:axId val="389822632"/>
      </c:scatterChart>
      <c:valAx>
        <c:axId val="389822240"/>
        <c:scaling>
          <c:orientation val="minMax"/>
          <c:max val="2065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22632"/>
        <c:crosses val="autoZero"/>
        <c:crossBetween val="midCat"/>
      </c:valAx>
      <c:valAx>
        <c:axId val="3898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by Sector (MGD)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60716995683599E-2"/>
          <c:y val="0.15977445060860546"/>
          <c:w val="0.91235523877050917"/>
          <c:h val="0.796686423839874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'Graph-Forecast'!$D$3</c:f>
              <c:strCache>
                <c:ptCount val="1"/>
                <c:pt idx="0">
                  <c:v>Residential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'Graph-Forecast'!$D$4:$D$15</c:f>
              <c:numCache>
                <c:formatCode>0.00</c:formatCode>
                <c:ptCount val="12"/>
                <c:pt idx="0">
                  <c:v>8.2233261483230997</c:v>
                </c:pt>
                <c:pt idx="1">
                  <c:v>8.60479424109589</c:v>
                </c:pt>
                <c:pt idx="2">
                  <c:v>8.2238573095890413</c:v>
                </c:pt>
                <c:pt idx="3">
                  <c:v>8.3653440712328759</c:v>
                </c:pt>
                <c:pt idx="4">
                  <c:v>7.415357854133207</c:v>
                </c:pt>
                <c:pt idx="5">
                  <c:v>7.149666641534246</c:v>
                </c:pt>
                <c:pt idx="6">
                  <c:v>7.2402373095890402</c:v>
                </c:pt>
                <c:pt idx="7">
                  <c:v>7.2901196261917818</c:v>
                </c:pt>
                <c:pt idx="8">
                  <c:v>7.3585779055266878</c:v>
                </c:pt>
                <c:pt idx="9">
                  <c:v>6.6732061753424654</c:v>
                </c:pt>
                <c:pt idx="10">
                  <c:v>7.0045663760610024</c:v>
                </c:pt>
                <c:pt idx="11">
                  <c:v>7.3617090650182844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C1-4735-BB95-7700A6C36F60}"/>
            </c:ext>
          </c:extLst>
        </c:ser>
        <c:ser>
          <c:idx val="1"/>
          <c:order val="1"/>
          <c:tx>
            <c:strRef>
              <c:f>'Graph-Forecast'!$E$3</c:f>
              <c:strCache>
                <c:ptCount val="1"/>
                <c:pt idx="0">
                  <c:v>Commercial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'Graph-Forecast'!$E$4:$E$15</c:f>
              <c:numCache>
                <c:formatCode>0.00</c:formatCode>
                <c:ptCount val="12"/>
                <c:pt idx="0">
                  <c:v>5.442679643268777</c:v>
                </c:pt>
                <c:pt idx="1">
                  <c:v>5.9323254958904101</c:v>
                </c:pt>
                <c:pt idx="2">
                  <c:v>5.8286660164383557</c:v>
                </c:pt>
                <c:pt idx="3">
                  <c:v>6.1315004767123282</c:v>
                </c:pt>
                <c:pt idx="4">
                  <c:v>5.321988200283422</c:v>
                </c:pt>
                <c:pt idx="5">
                  <c:v>5.2174547232876716</c:v>
                </c:pt>
                <c:pt idx="6">
                  <c:v>5.5236295671232876</c:v>
                </c:pt>
                <c:pt idx="7">
                  <c:v>5.6965979068493153</c:v>
                </c:pt>
                <c:pt idx="8">
                  <c:v>5.8762813421993387</c:v>
                </c:pt>
                <c:pt idx="9">
                  <c:v>5.923</c:v>
                </c:pt>
                <c:pt idx="10">
                  <c:v>6.1568294466466584</c:v>
                </c:pt>
                <c:pt idx="11">
                  <c:v>6.4854766812973397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C1-4735-BB95-7700A6C36F60}"/>
            </c:ext>
          </c:extLst>
        </c:ser>
        <c:ser>
          <c:idx val="2"/>
          <c:order val="2"/>
          <c:tx>
            <c:strRef>
              <c:f>'Graph-Forecast'!$F$3</c:f>
              <c:strCache>
                <c:ptCount val="1"/>
                <c:pt idx="0">
                  <c:v>Industrial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'Graph-Forecast'!$F$4:$F$15</c:f>
              <c:numCache>
                <c:formatCode>0.00</c:formatCode>
                <c:ptCount val="12"/>
                <c:pt idx="0">
                  <c:v>2.2893373505904582</c:v>
                </c:pt>
                <c:pt idx="1">
                  <c:v>2.5139224602739727</c:v>
                </c:pt>
                <c:pt idx="2">
                  <c:v>2.4869155616438356</c:v>
                </c:pt>
                <c:pt idx="3">
                  <c:v>2.5550112273972601</c:v>
                </c:pt>
                <c:pt idx="4">
                  <c:v>2.4238195886632026</c:v>
                </c:pt>
                <c:pt idx="5">
                  <c:v>3.0928929041095889</c:v>
                </c:pt>
                <c:pt idx="6">
                  <c:v>3.8831784712328767</c:v>
                </c:pt>
                <c:pt idx="7">
                  <c:v>3.8583182301369865</c:v>
                </c:pt>
                <c:pt idx="8">
                  <c:v>3.7001226607463389</c:v>
                </c:pt>
                <c:pt idx="9">
                  <c:v>3.8437322301369865</c:v>
                </c:pt>
                <c:pt idx="10">
                  <c:v>3.9735565932258581</c:v>
                </c:pt>
                <c:pt idx="11">
                  <c:v>4.1856622553053757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C1-4735-BB95-7700A6C36F60}"/>
            </c:ext>
          </c:extLst>
        </c:ser>
        <c:ser>
          <c:idx val="3"/>
          <c:order val="3"/>
          <c:tx>
            <c:strRef>
              <c:f>'Graph-Forecast'!$G$3</c:f>
              <c:strCache>
                <c:ptCount val="1"/>
                <c:pt idx="0">
                  <c:v>Wholesale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'Graph-Forecast'!$G$4:$G$15</c:f>
              <c:numCache>
                <c:formatCode>0.00</c:formatCode>
                <c:ptCount val="12"/>
                <c:pt idx="0">
                  <c:v>1.7270000000000001</c:v>
                </c:pt>
                <c:pt idx="1">
                  <c:v>1.984</c:v>
                </c:pt>
                <c:pt idx="2">
                  <c:v>2.0750000000000002</c:v>
                </c:pt>
                <c:pt idx="3">
                  <c:v>2.089</c:v>
                </c:pt>
                <c:pt idx="4">
                  <c:v>2.4609999999999999</c:v>
                </c:pt>
                <c:pt idx="5">
                  <c:v>2.7210000000000001</c:v>
                </c:pt>
                <c:pt idx="6">
                  <c:v>2.8769999999999998</c:v>
                </c:pt>
                <c:pt idx="7">
                  <c:v>2.996</c:v>
                </c:pt>
                <c:pt idx="8">
                  <c:v>3.0960000000000001</c:v>
                </c:pt>
                <c:pt idx="9">
                  <c:v>3.6280000000000001</c:v>
                </c:pt>
                <c:pt idx="10">
                  <c:v>3.5218584774167216</c:v>
                </c:pt>
                <c:pt idx="11">
                  <c:v>4.1058057812355546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9C1-4735-BB95-7700A6C36F60}"/>
            </c:ext>
          </c:extLst>
        </c:ser>
        <c:ser>
          <c:idx val="4"/>
          <c:order val="4"/>
          <c:tx>
            <c:strRef>
              <c:f>'Graph-Forecast'!$H$3</c:f>
              <c:strCache>
                <c:ptCount val="1"/>
                <c:pt idx="0">
                  <c:v>Non-Revenue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'Graph-Forecast'!$B$4:$B$15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2040</c:v>
                </c:pt>
                <c:pt idx="11">
                  <c:v>2065</c:v>
                </c:pt>
              </c:numCache>
            </c:numRef>
          </c:xVal>
          <c:yVal>
            <c:numRef>
              <c:f>'Graph-Forecast'!$H$4:$H$15</c:f>
              <c:numCache>
                <c:formatCode>0.00</c:formatCode>
                <c:ptCount val="12"/>
                <c:pt idx="0">
                  <c:v>3.4949999999999992</c:v>
                </c:pt>
                <c:pt idx="1">
                  <c:v>3.8990000000000027</c:v>
                </c:pt>
                <c:pt idx="2">
                  <c:v>3.8129999999999979</c:v>
                </c:pt>
                <c:pt idx="3">
                  <c:v>4.49</c:v>
                </c:pt>
                <c:pt idx="4">
                  <c:v>3.3569999999999998</c:v>
                </c:pt>
                <c:pt idx="5">
                  <c:v>3.2089999999999996</c:v>
                </c:pt>
                <c:pt idx="6">
                  <c:v>3.3110000000000026</c:v>
                </c:pt>
                <c:pt idx="7">
                  <c:v>3.2290000000000014</c:v>
                </c:pt>
                <c:pt idx="8">
                  <c:v>3.2300000000000004</c:v>
                </c:pt>
                <c:pt idx="9">
                  <c:v>3.8419999999999987</c:v>
                </c:pt>
                <c:pt idx="10">
                  <c:v>3.3694215677160528</c:v>
                </c:pt>
                <c:pt idx="11">
                  <c:v>3.1257623966755688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9C1-4735-BB95-7700A6C36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23416"/>
        <c:axId val="389824984"/>
      </c:scatterChart>
      <c:valAx>
        <c:axId val="389823416"/>
        <c:scaling>
          <c:orientation val="minMax"/>
          <c:max val="2065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24984"/>
        <c:crosses val="autoZero"/>
        <c:crossBetween val="midCat"/>
      </c:valAx>
      <c:valAx>
        <c:axId val="3898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2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36</xdr:row>
      <xdr:rowOff>0</xdr:rowOff>
    </xdr:from>
    <xdr:to>
      <xdr:col>17</xdr:col>
      <xdr:colOff>114300</xdr:colOff>
      <xdr:row>50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37697B0-1E88-4836-AA47-3F1D98BF4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17</xdr:row>
      <xdr:rowOff>0</xdr:rowOff>
    </xdr:from>
    <xdr:to>
      <xdr:col>1</xdr:col>
      <xdr:colOff>335280</xdr:colOff>
      <xdr:row>22</xdr:row>
      <xdr:rowOff>129540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xmlns="" id="{9B8D6244-1822-424C-A607-46CA007DECE9}"/>
            </a:ext>
          </a:extLst>
        </xdr:cNvPr>
        <xdr:cNvSpPr/>
      </xdr:nvSpPr>
      <xdr:spPr>
        <a:xfrm>
          <a:off x="571500" y="3596640"/>
          <a:ext cx="373380" cy="10439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</xdr:row>
      <xdr:rowOff>12382</xdr:rowOff>
    </xdr:from>
    <xdr:to>
      <xdr:col>22</xdr:col>
      <xdr:colOff>501015</xdr:colOff>
      <xdr:row>27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29</xdr:row>
      <xdr:rowOff>23811</xdr:rowOff>
    </xdr:from>
    <xdr:to>
      <xdr:col>22</xdr:col>
      <xdr:colOff>123825</xdr:colOff>
      <xdr:row>58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3"/>
  <sheetViews>
    <sheetView workbookViewId="0">
      <selection activeCell="F24" sqref="F24"/>
    </sheetView>
  </sheetViews>
  <sheetFormatPr defaultRowHeight="14.4" x14ac:dyDescent="0.3"/>
  <cols>
    <col min="1" max="1" width="2.44140625" customWidth="1"/>
    <col min="2" max="2" width="33.33203125" bestFit="1" customWidth="1"/>
    <col min="3" max="3" width="31.6640625" bestFit="1" customWidth="1"/>
    <col min="5" max="5" width="45.6640625" customWidth="1"/>
    <col min="6" max="6" width="20.33203125" bestFit="1" customWidth="1"/>
  </cols>
  <sheetData>
    <row r="2" spans="2:8" x14ac:dyDescent="0.3">
      <c r="B2" s="1" t="s">
        <v>14</v>
      </c>
      <c r="E2" s="2" t="s">
        <v>15</v>
      </c>
    </row>
    <row r="3" spans="2:8" ht="15" thickBot="1" x14ac:dyDescent="0.35"/>
    <row r="4" spans="2:8" ht="15" thickBot="1" x14ac:dyDescent="0.35">
      <c r="B4" s="8" t="s">
        <v>0</v>
      </c>
      <c r="C4" s="9" t="s">
        <v>1</v>
      </c>
      <c r="E4" s="169" t="s">
        <v>16</v>
      </c>
      <c r="F4" s="3" t="s">
        <v>17</v>
      </c>
    </row>
    <row r="5" spans="2:8" ht="15" thickBot="1" x14ac:dyDescent="0.35">
      <c r="B5" s="10" t="s">
        <v>2</v>
      </c>
      <c r="C5" s="11"/>
      <c r="E5" s="170"/>
      <c r="F5" s="4" t="s">
        <v>18</v>
      </c>
      <c r="H5" s="135" t="s">
        <v>184</v>
      </c>
    </row>
    <row r="6" spans="2:8" ht="15" thickBot="1" x14ac:dyDescent="0.35">
      <c r="B6" s="5" t="s">
        <v>3</v>
      </c>
      <c r="C6" s="12">
        <v>116463</v>
      </c>
      <c r="E6" s="5" t="s">
        <v>19</v>
      </c>
      <c r="F6" s="6">
        <v>23.260999999999999</v>
      </c>
    </row>
    <row r="7" spans="2:8" ht="15" thickBot="1" x14ac:dyDescent="0.35">
      <c r="B7" s="5" t="s">
        <v>4</v>
      </c>
      <c r="C7" s="12">
        <v>3145</v>
      </c>
      <c r="E7" s="5" t="s">
        <v>20</v>
      </c>
      <c r="F7" s="6">
        <v>16.934999999999999</v>
      </c>
    </row>
    <row r="8" spans="2:8" ht="15" thickBot="1" x14ac:dyDescent="0.35">
      <c r="B8" s="5" t="s">
        <v>5</v>
      </c>
      <c r="C8" s="6" t="s">
        <v>6</v>
      </c>
      <c r="E8" s="5" t="s">
        <v>21</v>
      </c>
      <c r="F8" s="6">
        <v>7.359</v>
      </c>
    </row>
    <row r="9" spans="2:8" ht="15" thickBot="1" x14ac:dyDescent="0.35">
      <c r="B9" s="5" t="s">
        <v>7</v>
      </c>
      <c r="C9" s="13" t="s">
        <v>8</v>
      </c>
      <c r="E9" s="5" t="s">
        <v>22</v>
      </c>
      <c r="F9" s="6">
        <v>5.8760000000000003</v>
      </c>
    </row>
    <row r="10" spans="2:8" ht="15" thickBot="1" x14ac:dyDescent="0.35">
      <c r="B10" s="10" t="s">
        <v>9</v>
      </c>
      <c r="C10" s="11"/>
      <c r="E10" s="5" t="s">
        <v>23</v>
      </c>
      <c r="F10" s="6">
        <v>3.7</v>
      </c>
    </row>
    <row r="11" spans="2:8" ht="15" thickBot="1" x14ac:dyDescent="0.35">
      <c r="B11" s="5" t="s">
        <v>152</v>
      </c>
      <c r="C11" s="12">
        <v>22106</v>
      </c>
      <c r="E11" s="5" t="s">
        <v>24</v>
      </c>
      <c r="F11" s="6">
        <v>3.0960000000000001</v>
      </c>
    </row>
    <row r="12" spans="2:8" ht="15" thickBot="1" x14ac:dyDescent="0.35">
      <c r="B12" s="5" t="s">
        <v>10</v>
      </c>
      <c r="C12" s="14">
        <v>7840</v>
      </c>
      <c r="E12" s="5" t="s">
        <v>25</v>
      </c>
      <c r="F12" s="6">
        <v>3.23</v>
      </c>
      <c r="G12" s="77"/>
    </row>
    <row r="13" spans="2:8" ht="15" thickBot="1" x14ac:dyDescent="0.35">
      <c r="B13" s="5" t="s">
        <v>11</v>
      </c>
      <c r="C13" s="81">
        <v>29946</v>
      </c>
      <c r="D13" s="78"/>
      <c r="E13" s="5" t="s">
        <v>26</v>
      </c>
      <c r="F13" s="183" t="s">
        <v>27</v>
      </c>
    </row>
    <row r="14" spans="2:8" ht="15" thickBot="1" x14ac:dyDescent="0.35">
      <c r="B14" s="10" t="s">
        <v>12</v>
      </c>
      <c r="C14" s="15">
        <v>149386</v>
      </c>
      <c r="E14" s="181" t="s">
        <v>28</v>
      </c>
      <c r="F14" s="184">
        <f>(F6*1000000)/C15</f>
        <v>142.67488576072623</v>
      </c>
    </row>
    <row r="15" spans="2:8" ht="15" thickBot="1" x14ac:dyDescent="0.35">
      <c r="B15" s="10" t="s">
        <v>13</v>
      </c>
      <c r="C15" s="15">
        <v>163035</v>
      </c>
      <c r="E15" s="181" t="s">
        <v>29</v>
      </c>
      <c r="F15" s="185">
        <f>(F7*1000000)/C17</f>
        <v>127.2456777043933</v>
      </c>
    </row>
    <row r="16" spans="2:8" ht="15" thickBot="1" x14ac:dyDescent="0.35">
      <c r="E16" s="181" t="s">
        <v>30</v>
      </c>
      <c r="F16" s="184">
        <f>(F11*1000000)/C13</f>
        <v>103.38609497094771</v>
      </c>
    </row>
    <row r="17" spans="2:6" ht="15" thickBot="1" x14ac:dyDescent="0.35">
      <c r="B17" s="121" t="s">
        <v>150</v>
      </c>
      <c r="C17" s="120">
        <v>133089</v>
      </c>
      <c r="E17" s="181" t="s">
        <v>31</v>
      </c>
      <c r="F17" s="186">
        <f>(F8*1000000)/C17</f>
        <v>55.293825936027773</v>
      </c>
    </row>
    <row r="18" spans="2:6" ht="15" thickBot="1" x14ac:dyDescent="0.35">
      <c r="E18" s="181" t="s">
        <v>32</v>
      </c>
      <c r="F18" s="186">
        <f>(F9*1000000)/C17</f>
        <v>44.150906536227637</v>
      </c>
    </row>
    <row r="19" spans="2:6" ht="15" thickBot="1" x14ac:dyDescent="0.35">
      <c r="E19" s="181" t="s">
        <v>33</v>
      </c>
      <c r="F19" s="186">
        <f>(F10*1000000)/C17</f>
        <v>27.800945232137892</v>
      </c>
    </row>
    <row r="20" spans="2:6" x14ac:dyDescent="0.3">
      <c r="C20" s="135" t="s">
        <v>185</v>
      </c>
    </row>
    <row r="21" spans="2:6" x14ac:dyDescent="0.3">
      <c r="C21" s="180">
        <f>C15-C14</f>
        <v>13649</v>
      </c>
    </row>
    <row r="22" spans="2:6" x14ac:dyDescent="0.3">
      <c r="F22" t="s">
        <v>34</v>
      </c>
    </row>
    <row r="23" spans="2:6" x14ac:dyDescent="0.3">
      <c r="C23" s="179"/>
    </row>
  </sheetData>
  <mergeCells count="1">
    <mergeCell ref="E4:E5"/>
  </mergeCells>
  <pageMargins left="0.7" right="0.7" top="0.75" bottom="0.75" header="0.3" footer="0.3"/>
  <pageSetup scale="77" orientation="landscape" r:id="rId1"/>
  <headerFooter>
    <oddFooter>&amp;L&amp;A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37"/>
  <sheetViews>
    <sheetView topLeftCell="A13" workbookViewId="0">
      <selection activeCell="L24" sqref="L24"/>
    </sheetView>
  </sheetViews>
  <sheetFormatPr defaultRowHeight="14.4" x14ac:dyDescent="0.3"/>
  <cols>
    <col min="1" max="1" width="4.88671875" customWidth="1"/>
    <col min="2" max="2" width="16.88671875" customWidth="1"/>
    <col min="3" max="3" width="10.44140625" customWidth="1"/>
    <col min="4" max="4" width="10.6640625" customWidth="1"/>
    <col min="5" max="5" width="9.88671875" customWidth="1"/>
    <col min="6" max="8" width="9" bestFit="1" customWidth="1"/>
    <col min="9" max="9" width="9.5546875" bestFit="1" customWidth="1"/>
    <col min="10" max="10" width="9" bestFit="1" customWidth="1"/>
    <col min="11" max="11" width="11.109375" bestFit="1" customWidth="1"/>
  </cols>
  <sheetData>
    <row r="2" spans="2:12" x14ac:dyDescent="0.3">
      <c r="B2" s="1" t="s">
        <v>106</v>
      </c>
    </row>
    <row r="3" spans="2:12" ht="15" thickBot="1" x14ac:dyDescent="0.35"/>
    <row r="4" spans="2:12" ht="23.4" thickBot="1" x14ac:dyDescent="0.35">
      <c r="B4" s="16" t="s">
        <v>90</v>
      </c>
      <c r="C4" s="17" t="s">
        <v>21</v>
      </c>
      <c r="D4" s="17" t="s">
        <v>22</v>
      </c>
      <c r="E4" s="17" t="s">
        <v>23</v>
      </c>
      <c r="F4" s="17" t="s">
        <v>80</v>
      </c>
      <c r="G4" s="17" t="s">
        <v>102</v>
      </c>
    </row>
    <row r="5" spans="2:12" ht="15" thickBot="1" x14ac:dyDescent="0.35">
      <c r="B5" s="25" t="s">
        <v>103</v>
      </c>
      <c r="C5" s="27">
        <v>0.64239999999999997</v>
      </c>
      <c r="D5" s="27">
        <v>0.26440000000000002</v>
      </c>
      <c r="E5" s="27">
        <v>0.20910000000000001</v>
      </c>
      <c r="F5" s="27">
        <v>0.1668</v>
      </c>
      <c r="G5" s="27">
        <v>0.40600000000000003</v>
      </c>
    </row>
    <row r="6" spans="2:12" ht="15" thickBot="1" x14ac:dyDescent="0.35">
      <c r="B6" s="25" t="s">
        <v>104</v>
      </c>
      <c r="C6" s="27">
        <v>-5.1999999999999998E-2</v>
      </c>
      <c r="D6" s="27">
        <v>-3.2199999999999999E-2</v>
      </c>
      <c r="E6" s="27" t="s">
        <v>105</v>
      </c>
      <c r="F6" s="27" t="s">
        <v>105</v>
      </c>
      <c r="G6" s="27">
        <v>-3.4000000000000002E-2</v>
      </c>
    </row>
    <row r="9" spans="2:12" x14ac:dyDescent="0.3">
      <c r="B9" s="1" t="s">
        <v>107</v>
      </c>
    </row>
    <row r="10" spans="2:12" ht="15" thickBot="1" x14ac:dyDescent="0.35"/>
    <row r="11" spans="2:12" ht="20.25" customHeight="1" x14ac:dyDescent="0.3">
      <c r="B11" s="173" t="s">
        <v>108</v>
      </c>
      <c r="C11" s="171" t="s">
        <v>109</v>
      </c>
      <c r="D11" s="171" t="s">
        <v>110</v>
      </c>
      <c r="E11" s="61" t="s">
        <v>111</v>
      </c>
      <c r="F11" s="171" t="s">
        <v>113</v>
      </c>
      <c r="G11" s="171" t="s">
        <v>114</v>
      </c>
      <c r="H11" s="171" t="s">
        <v>115</v>
      </c>
      <c r="I11" s="171" t="s">
        <v>116</v>
      </c>
      <c r="J11" s="171" t="s">
        <v>117</v>
      </c>
    </row>
    <row r="12" spans="2:12" ht="15" thickBot="1" x14ac:dyDescent="0.35">
      <c r="B12" s="174"/>
      <c r="C12" s="172"/>
      <c r="D12" s="172"/>
      <c r="E12" s="62" t="s">
        <v>112</v>
      </c>
      <c r="F12" s="172"/>
      <c r="G12" s="172"/>
      <c r="H12" s="172"/>
      <c r="I12" s="172"/>
      <c r="J12" s="172"/>
    </row>
    <row r="13" spans="2:12" ht="15" thickBot="1" x14ac:dyDescent="0.35">
      <c r="B13" s="10" t="s">
        <v>118</v>
      </c>
      <c r="C13" s="13">
        <v>188.16</v>
      </c>
      <c r="D13" s="13">
        <v>43.6</v>
      </c>
      <c r="E13" s="82">
        <v>35</v>
      </c>
      <c r="F13" s="83">
        <f t="shared" ref="F13:F24" si="0">E13/D13</f>
        <v>0.80275229357798161</v>
      </c>
      <c r="G13" s="94">
        <v>1.48</v>
      </c>
      <c r="H13" s="89">
        <v>1.81</v>
      </c>
      <c r="I13" s="95">
        <f t="shared" ref="I13:I24" si="1">H13/G13</f>
        <v>1.222972972972973</v>
      </c>
      <c r="J13" s="85">
        <f t="shared" ref="J13:J24" si="2">C13*(F13^$C$5)*(I13^$C$6)</f>
        <v>161.69061715269979</v>
      </c>
      <c r="L13" s="76"/>
    </row>
    <row r="14" spans="2:12" ht="15" thickBot="1" x14ac:dyDescent="0.35">
      <c r="B14" s="10" t="s">
        <v>119</v>
      </c>
      <c r="C14" s="13">
        <v>165.46</v>
      </c>
      <c r="D14" s="13">
        <v>46.7</v>
      </c>
      <c r="E14" s="86">
        <v>40</v>
      </c>
      <c r="F14" s="90">
        <f t="shared" si="0"/>
        <v>0.85653104925053525</v>
      </c>
      <c r="G14" s="94">
        <v>1.59</v>
      </c>
      <c r="H14" s="89">
        <v>1.81</v>
      </c>
      <c r="I14" s="95">
        <f t="shared" si="1"/>
        <v>1.1383647798742138</v>
      </c>
      <c r="J14" s="85">
        <f t="shared" si="2"/>
        <v>148.78548291542245</v>
      </c>
      <c r="L14" s="76"/>
    </row>
    <row r="15" spans="2:12" ht="15" thickBot="1" x14ac:dyDescent="0.35">
      <c r="B15" s="10" t="s">
        <v>120</v>
      </c>
      <c r="C15" s="13">
        <v>179.16</v>
      </c>
      <c r="D15" s="13">
        <v>69</v>
      </c>
      <c r="E15" s="86">
        <v>52</v>
      </c>
      <c r="F15" s="90">
        <f t="shared" si="0"/>
        <v>0.75362318840579712</v>
      </c>
      <c r="G15" s="94">
        <v>1.68</v>
      </c>
      <c r="H15" s="89">
        <v>2.64</v>
      </c>
      <c r="I15" s="95">
        <f t="shared" si="1"/>
        <v>1.5714285714285716</v>
      </c>
      <c r="J15" s="85">
        <f t="shared" si="2"/>
        <v>145.92094189356533</v>
      </c>
      <c r="L15" s="76"/>
    </row>
    <row r="16" spans="2:12" ht="15" thickBot="1" x14ac:dyDescent="0.35">
      <c r="B16" s="10" t="s">
        <v>121</v>
      </c>
      <c r="C16" s="13">
        <v>200.55</v>
      </c>
      <c r="D16" s="13">
        <v>69.2</v>
      </c>
      <c r="E16" s="86">
        <v>65</v>
      </c>
      <c r="F16" s="90">
        <f t="shared" si="0"/>
        <v>0.93930635838150289</v>
      </c>
      <c r="G16" s="94">
        <v>4.4800000000000004</v>
      </c>
      <c r="H16" s="89">
        <v>3.5</v>
      </c>
      <c r="I16" s="95">
        <f t="shared" si="1"/>
        <v>0.78124999999999989</v>
      </c>
      <c r="J16" s="85">
        <f t="shared" si="2"/>
        <v>195.1322130195656</v>
      </c>
      <c r="L16" s="76"/>
    </row>
    <row r="17" spans="2:16" ht="15" thickBot="1" x14ac:dyDescent="0.35">
      <c r="B17" s="10" t="s">
        <v>122</v>
      </c>
      <c r="C17" s="13">
        <v>250.43</v>
      </c>
      <c r="D17" s="13">
        <v>81.2</v>
      </c>
      <c r="E17" s="86">
        <v>75</v>
      </c>
      <c r="F17" s="90">
        <f t="shared" si="0"/>
        <v>0.92364532019704426</v>
      </c>
      <c r="G17" s="94">
        <v>4.28</v>
      </c>
      <c r="H17" s="89">
        <v>4.25</v>
      </c>
      <c r="I17" s="95">
        <f t="shared" si="1"/>
        <v>0.99299065420560739</v>
      </c>
      <c r="J17" s="85">
        <f t="shared" si="2"/>
        <v>238.05963728203793</v>
      </c>
      <c r="L17" s="76"/>
    </row>
    <row r="18" spans="2:16" ht="15" thickBot="1" x14ac:dyDescent="0.35">
      <c r="B18" s="10" t="s">
        <v>123</v>
      </c>
      <c r="C18" s="13">
        <v>320.39</v>
      </c>
      <c r="D18" s="13">
        <v>85.2</v>
      </c>
      <c r="E18" s="86">
        <v>83</v>
      </c>
      <c r="F18" s="90">
        <f t="shared" si="0"/>
        <v>0.9741784037558685</v>
      </c>
      <c r="G18" s="94">
        <v>0.94</v>
      </c>
      <c r="H18" s="89">
        <v>4.45</v>
      </c>
      <c r="I18" s="95">
        <f t="shared" si="1"/>
        <v>4.7340425531914896</v>
      </c>
      <c r="J18" s="85">
        <f t="shared" si="2"/>
        <v>290.58169392239898</v>
      </c>
      <c r="L18" s="76"/>
    </row>
    <row r="19" spans="2:16" ht="15" thickBot="1" x14ac:dyDescent="0.35">
      <c r="B19" s="10" t="s">
        <v>124</v>
      </c>
      <c r="C19" s="13">
        <v>331.26</v>
      </c>
      <c r="D19" s="13">
        <v>95.8</v>
      </c>
      <c r="E19" s="86">
        <v>86</v>
      </c>
      <c r="F19" s="92">
        <f t="shared" si="0"/>
        <v>0.89770354906054284</v>
      </c>
      <c r="G19" s="82">
        <v>0.34</v>
      </c>
      <c r="H19" s="84">
        <v>3.94</v>
      </c>
      <c r="I19" s="96">
        <f t="shared" si="1"/>
        <v>11.588235294117647</v>
      </c>
      <c r="J19" s="93">
        <f t="shared" si="2"/>
        <v>272.10260510208894</v>
      </c>
      <c r="L19" s="76"/>
    </row>
    <row r="20" spans="2:16" ht="15" thickBot="1" x14ac:dyDescent="0.35">
      <c r="B20" s="10" t="s">
        <v>125</v>
      </c>
      <c r="C20" s="13">
        <v>275.77999999999997</v>
      </c>
      <c r="D20" s="13">
        <v>89.5</v>
      </c>
      <c r="E20" s="86">
        <v>85</v>
      </c>
      <c r="F20" s="91">
        <f t="shared" si="0"/>
        <v>0.94972067039106145</v>
      </c>
      <c r="G20" s="86">
        <v>2.94</v>
      </c>
      <c r="H20" s="13">
        <v>3.23</v>
      </c>
      <c r="I20" s="97">
        <f t="shared" si="1"/>
        <v>1.0986394557823129</v>
      </c>
      <c r="J20" s="88">
        <f t="shared" si="2"/>
        <v>265.48861218316205</v>
      </c>
      <c r="L20" s="76"/>
    </row>
    <row r="21" spans="2:16" ht="15" thickBot="1" x14ac:dyDescent="0.35">
      <c r="B21" s="10" t="s">
        <v>126</v>
      </c>
      <c r="C21" s="13">
        <v>211.42</v>
      </c>
      <c r="D21" s="13">
        <v>78.900000000000006</v>
      </c>
      <c r="E21" s="86">
        <v>79</v>
      </c>
      <c r="F21" s="91">
        <f t="shared" si="0"/>
        <v>1.0012674271229403</v>
      </c>
      <c r="G21" s="86">
        <v>2.89</v>
      </c>
      <c r="H21" s="13">
        <v>2.91</v>
      </c>
      <c r="I21" s="97">
        <f t="shared" si="1"/>
        <v>1.0069204152249136</v>
      </c>
      <c r="J21" s="88">
        <f t="shared" si="2"/>
        <v>211.51623015894145</v>
      </c>
      <c r="L21" s="76"/>
    </row>
    <row r="22" spans="2:16" ht="15" thickBot="1" x14ac:dyDescent="0.35">
      <c r="B22" s="10" t="s">
        <v>127</v>
      </c>
      <c r="C22" s="13">
        <v>184.19</v>
      </c>
      <c r="D22" s="13">
        <v>63.7</v>
      </c>
      <c r="E22" s="86">
        <v>66</v>
      </c>
      <c r="F22" s="91">
        <f t="shared" si="0"/>
        <v>1.0361067503924646</v>
      </c>
      <c r="G22" s="86">
        <v>5.03</v>
      </c>
      <c r="H22" s="13">
        <v>3.15</v>
      </c>
      <c r="I22" s="97">
        <f t="shared" si="1"/>
        <v>0.62624254473161034</v>
      </c>
      <c r="J22" s="88">
        <f t="shared" si="2"/>
        <v>193.07733119767121</v>
      </c>
      <c r="L22" s="76"/>
    </row>
    <row r="23" spans="2:16" ht="15" thickBot="1" x14ac:dyDescent="0.35">
      <c r="B23" s="10" t="s">
        <v>128</v>
      </c>
      <c r="C23" s="13">
        <v>184.41</v>
      </c>
      <c r="D23" s="13">
        <v>54.3</v>
      </c>
      <c r="E23" s="86">
        <v>52</v>
      </c>
      <c r="F23" s="91">
        <f t="shared" si="0"/>
        <v>0.9576427255985267</v>
      </c>
      <c r="G23" s="86">
        <v>1.1299999999999999</v>
      </c>
      <c r="H23" s="13">
        <v>3.23</v>
      </c>
      <c r="I23" s="97">
        <f t="shared" si="1"/>
        <v>2.8584070796460179</v>
      </c>
      <c r="J23" s="88">
        <f t="shared" si="2"/>
        <v>169.8209058582635</v>
      </c>
      <c r="L23" s="76"/>
    </row>
    <row r="24" spans="2:16" ht="15" thickBot="1" x14ac:dyDescent="0.35">
      <c r="B24" s="10" t="s">
        <v>129</v>
      </c>
      <c r="C24" s="13">
        <v>194.67</v>
      </c>
      <c r="D24" s="13">
        <v>45.9</v>
      </c>
      <c r="E24" s="86">
        <v>38</v>
      </c>
      <c r="F24" s="87">
        <f t="shared" si="0"/>
        <v>0.82788671023965144</v>
      </c>
      <c r="G24" s="86">
        <v>3.28</v>
      </c>
      <c r="H24" s="13">
        <v>2.52</v>
      </c>
      <c r="I24" s="97">
        <f t="shared" si="1"/>
        <v>0.76829268292682928</v>
      </c>
      <c r="J24" s="88">
        <f t="shared" si="2"/>
        <v>174.80592703881217</v>
      </c>
      <c r="K24" s="182">
        <f>SUM(J13:J24)</f>
        <v>2466.9821977246293</v>
      </c>
      <c r="L24" s="187">
        <f>J25/C25</f>
        <v>0.91849226324333177</v>
      </c>
    </row>
    <row r="25" spans="2:16" ht="15" thickBot="1" x14ac:dyDescent="0.35">
      <c r="B25" s="10" t="s">
        <v>130</v>
      </c>
      <c r="C25" s="63">
        <v>2685.88</v>
      </c>
      <c r="D25" s="13">
        <v>68.599999999999994</v>
      </c>
      <c r="E25" s="13">
        <v>63</v>
      </c>
      <c r="F25" s="64"/>
      <c r="G25" s="13">
        <v>30.06</v>
      </c>
      <c r="H25" s="13">
        <v>37.44</v>
      </c>
      <c r="I25" s="64"/>
      <c r="J25" s="65">
        <v>2466.96</v>
      </c>
      <c r="K25" t="s">
        <v>186</v>
      </c>
    </row>
    <row r="26" spans="2:16" ht="15" thickBot="1" x14ac:dyDescent="0.35">
      <c r="B26" s="10" t="s">
        <v>131</v>
      </c>
      <c r="C26" s="64"/>
      <c r="D26" s="64"/>
      <c r="E26" s="64"/>
      <c r="F26" s="64"/>
      <c r="G26" s="64"/>
      <c r="H26" s="64"/>
      <c r="I26" s="64"/>
      <c r="J26" s="66">
        <v>0.91849999999999998</v>
      </c>
      <c r="K26" t="s">
        <v>187</v>
      </c>
    </row>
    <row r="29" spans="2:16" x14ac:dyDescent="0.3">
      <c r="B29" s="67" t="s">
        <v>132</v>
      </c>
    </row>
    <row r="31" spans="2:16" x14ac:dyDescent="0.3">
      <c r="B31" t="s">
        <v>133</v>
      </c>
      <c r="C31" t="s">
        <v>134</v>
      </c>
      <c r="D31" t="s">
        <v>135</v>
      </c>
      <c r="E31" t="s">
        <v>136</v>
      </c>
      <c r="G31" s="2" t="s">
        <v>142</v>
      </c>
    </row>
    <row r="32" spans="2:16" x14ac:dyDescent="0.3">
      <c r="B32" t="s">
        <v>21</v>
      </c>
      <c r="C32">
        <v>55.3</v>
      </c>
      <c r="D32">
        <v>0.91849999999999998</v>
      </c>
      <c r="E32" s="69">
        <f>C32*D32</f>
        <v>50.793049999999994</v>
      </c>
      <c r="G32" s="68" t="s">
        <v>137</v>
      </c>
      <c r="P32" s="69"/>
    </row>
    <row r="33" spans="2:16" x14ac:dyDescent="0.3">
      <c r="B33" t="s">
        <v>22</v>
      </c>
      <c r="C33">
        <v>44.1</v>
      </c>
      <c r="D33">
        <v>0.95979999999999999</v>
      </c>
      <c r="E33" s="69">
        <f t="shared" ref="E33:E35" si="3">C33*D33</f>
        <v>42.327179999999998</v>
      </c>
      <c r="G33" s="68" t="s">
        <v>138</v>
      </c>
      <c r="P33" s="69"/>
    </row>
    <row r="34" spans="2:16" x14ac:dyDescent="0.3">
      <c r="B34" t="s">
        <v>23</v>
      </c>
      <c r="C34">
        <v>27.8</v>
      </c>
      <c r="D34">
        <v>0.98170000000000002</v>
      </c>
      <c r="E34" s="69">
        <f t="shared" si="3"/>
        <v>27.291260000000001</v>
      </c>
      <c r="G34" s="68" t="s">
        <v>139</v>
      </c>
      <c r="P34" s="69"/>
    </row>
    <row r="35" spans="2:16" x14ac:dyDescent="0.3">
      <c r="B35" t="s">
        <v>80</v>
      </c>
      <c r="C35">
        <v>103.4</v>
      </c>
      <c r="D35">
        <v>0.91849999999999998</v>
      </c>
      <c r="E35" s="69">
        <f t="shared" si="3"/>
        <v>94.97290000000001</v>
      </c>
      <c r="G35" s="68" t="s">
        <v>153</v>
      </c>
      <c r="P35" s="69"/>
    </row>
    <row r="36" spans="2:16" x14ac:dyDescent="0.3">
      <c r="P36" s="69"/>
    </row>
    <row r="37" spans="2:16" x14ac:dyDescent="0.3">
      <c r="B37" t="s">
        <v>141</v>
      </c>
      <c r="C37">
        <v>142.69999999999999</v>
      </c>
      <c r="D37">
        <v>0.94579999999999997</v>
      </c>
      <c r="E37" s="69">
        <f>C37*D37</f>
        <v>134.96565999999999</v>
      </c>
      <c r="G37" s="68" t="s">
        <v>140</v>
      </c>
      <c r="P37" s="69"/>
    </row>
  </sheetData>
  <mergeCells count="8">
    <mergeCell ref="I11:I12"/>
    <mergeCell ref="J11:J12"/>
    <mergeCell ref="B11:B12"/>
    <mergeCell ref="C11:C12"/>
    <mergeCell ref="D11:D12"/>
    <mergeCell ref="F11:F12"/>
    <mergeCell ref="G11:G12"/>
    <mergeCell ref="H11:H12"/>
  </mergeCells>
  <pageMargins left="0.7" right="0.7" top="0.75" bottom="0.75" header="0.3" footer="0.3"/>
  <pageSetup scale="89" orientation="landscape" r:id="rId1"/>
  <headerFooter>
    <oddFooter>&amp;L&amp;A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43"/>
  <sheetViews>
    <sheetView topLeftCell="A2" workbookViewId="0">
      <selection activeCell="L31" sqref="L31"/>
    </sheetView>
  </sheetViews>
  <sheetFormatPr defaultRowHeight="14.4" x14ac:dyDescent="0.3"/>
  <cols>
    <col min="1" max="1" width="3.33203125" customWidth="1"/>
    <col min="3" max="3" width="14.6640625" customWidth="1"/>
    <col min="9" max="9" width="10.33203125" customWidth="1"/>
    <col min="14" max="14" width="7.88671875" customWidth="1"/>
    <col min="15" max="15" width="12.6640625" customWidth="1"/>
  </cols>
  <sheetData>
    <row r="2" spans="2:21" x14ac:dyDescent="0.3">
      <c r="C2" s="1" t="s">
        <v>43</v>
      </c>
      <c r="O2" s="2" t="s">
        <v>49</v>
      </c>
    </row>
    <row r="3" spans="2:21" ht="15" thickBot="1" x14ac:dyDescent="0.35"/>
    <row r="4" spans="2:21" ht="46.2" thickBot="1" x14ac:dyDescent="0.35">
      <c r="C4" s="16" t="s">
        <v>35</v>
      </c>
      <c r="D4" s="17" t="s">
        <v>36</v>
      </c>
      <c r="E4" s="17" t="s">
        <v>37</v>
      </c>
      <c r="F4" s="17" t="s">
        <v>39</v>
      </c>
      <c r="G4" s="17" t="s">
        <v>40</v>
      </c>
      <c r="H4" s="123" t="s">
        <v>169</v>
      </c>
      <c r="I4" s="123" t="s">
        <v>170</v>
      </c>
      <c r="J4" s="123" t="s">
        <v>171</v>
      </c>
      <c r="K4" s="17" t="s">
        <v>41</v>
      </c>
      <c r="L4" s="17" t="s">
        <v>42</v>
      </c>
      <c r="M4" s="100" t="s">
        <v>151</v>
      </c>
      <c r="N4" s="80"/>
      <c r="O4" s="16" t="s">
        <v>35</v>
      </c>
      <c r="P4" s="17" t="s">
        <v>38</v>
      </c>
      <c r="Q4" s="17" t="s">
        <v>44</v>
      </c>
      <c r="R4" s="17" t="s">
        <v>45</v>
      </c>
      <c r="S4" s="17" t="s">
        <v>46</v>
      </c>
      <c r="T4" s="17" t="s">
        <v>47</v>
      </c>
      <c r="U4" s="17" t="s">
        <v>48</v>
      </c>
    </row>
    <row r="5" spans="2:21" ht="15" thickBot="1" x14ac:dyDescent="0.35">
      <c r="C5" s="5">
        <v>2007</v>
      </c>
      <c r="D5" s="14">
        <v>153680</v>
      </c>
      <c r="E5" s="104">
        <v>21.177</v>
      </c>
      <c r="F5" s="14">
        <v>129875</v>
      </c>
      <c r="G5" s="6">
        <v>15.955</v>
      </c>
      <c r="H5" s="122">
        <v>8.2233261483230997</v>
      </c>
      <c r="I5" s="122">
        <v>5.442679643268777</v>
      </c>
      <c r="J5" s="122">
        <v>2.2893373505904582</v>
      </c>
      <c r="K5" s="18">
        <v>23805</v>
      </c>
      <c r="L5" s="19">
        <v>1.7270000000000001</v>
      </c>
      <c r="M5" s="101">
        <f t="shared" ref="M5:M14" si="0">(E5-G5-L5)</f>
        <v>3.4949999999999992</v>
      </c>
      <c r="N5" s="77"/>
      <c r="O5" s="7">
        <v>2007</v>
      </c>
      <c r="P5" s="102">
        <f>E5*1000000/D5</f>
        <v>137.79932326913067</v>
      </c>
      <c r="Q5" s="103">
        <f>H5*1000000/$F5</f>
        <v>63.317236945702405</v>
      </c>
      <c r="R5" s="103">
        <f>I5*1000000/$F5</f>
        <v>41.907061738354393</v>
      </c>
      <c r="S5" s="103">
        <f>J5*1000000/$F5</f>
        <v>17.627236578174845</v>
      </c>
      <c r="T5" s="103">
        <f>L5*1000000/K5</f>
        <v>72.547784078974999</v>
      </c>
      <c r="U5" s="105">
        <f>M5/E5</f>
        <v>0.16503754072814844</v>
      </c>
    </row>
    <row r="6" spans="2:21" ht="15" thickBot="1" x14ac:dyDescent="0.35">
      <c r="C6" s="5">
        <v>2008</v>
      </c>
      <c r="D6" s="14">
        <v>154850</v>
      </c>
      <c r="E6" s="104">
        <v>22.934000000000001</v>
      </c>
      <c r="F6" s="14">
        <v>130278</v>
      </c>
      <c r="G6" s="6">
        <v>17.050999999999998</v>
      </c>
      <c r="H6" s="122">
        <v>8.60479424109589</v>
      </c>
      <c r="I6" s="122">
        <v>5.9323254958904101</v>
      </c>
      <c r="J6" s="122">
        <v>2.5139224602739727</v>
      </c>
      <c r="K6" s="18">
        <v>24573</v>
      </c>
      <c r="L6" s="19">
        <v>1.984</v>
      </c>
      <c r="M6" s="101">
        <f t="shared" si="0"/>
        <v>3.8990000000000027</v>
      </c>
      <c r="N6" s="77"/>
      <c r="O6" s="7">
        <v>2008</v>
      </c>
      <c r="P6" s="102">
        <f t="shared" ref="P6:P14" si="1">E6*1000000/D6</f>
        <v>148.10461737164999</v>
      </c>
      <c r="Q6" s="103">
        <f t="shared" ref="Q6:Q14" si="2">H6*1000000/$F6</f>
        <v>66.049480657485446</v>
      </c>
      <c r="R6" s="103">
        <f t="shared" ref="R6:R14" si="3">I6*1000000/$F6</f>
        <v>45.535896282491365</v>
      </c>
      <c r="S6" s="103">
        <f t="shared" ref="S6:S14" si="4">J6*1000000/$F6</f>
        <v>19.29660004201763</v>
      </c>
      <c r="T6" s="103">
        <f t="shared" ref="T6:T14" si="5">L6*1000000/K6</f>
        <v>80.739022504374717</v>
      </c>
      <c r="U6" s="105">
        <f t="shared" ref="U6:U14" si="6">M6/E6</f>
        <v>0.17000959274439709</v>
      </c>
    </row>
    <row r="7" spans="2:21" ht="15" thickBot="1" x14ac:dyDescent="0.35">
      <c r="C7" s="5">
        <v>2009</v>
      </c>
      <c r="D7" s="14">
        <v>156020</v>
      </c>
      <c r="E7" s="104">
        <v>22.427</v>
      </c>
      <c r="F7" s="14">
        <v>130680</v>
      </c>
      <c r="G7" s="6">
        <v>16.539000000000001</v>
      </c>
      <c r="H7" s="122">
        <v>8.2238573095890413</v>
      </c>
      <c r="I7" s="122">
        <v>5.8286660164383557</v>
      </c>
      <c r="J7" s="122">
        <v>2.4869155616438356</v>
      </c>
      <c r="K7" s="18">
        <v>25340</v>
      </c>
      <c r="L7" s="19">
        <v>2.0750000000000002</v>
      </c>
      <c r="M7" s="101">
        <f t="shared" si="0"/>
        <v>3.8129999999999979</v>
      </c>
      <c r="N7" s="77"/>
      <c r="O7" s="7">
        <v>2009</v>
      </c>
      <c r="P7" s="102">
        <f t="shared" si="1"/>
        <v>143.74439174464811</v>
      </c>
      <c r="Q7" s="103">
        <f t="shared" si="2"/>
        <v>62.931261934412625</v>
      </c>
      <c r="R7" s="103">
        <f t="shared" si="3"/>
        <v>44.602586596559199</v>
      </c>
      <c r="S7" s="103">
        <f t="shared" si="4"/>
        <v>19.030575157972418</v>
      </c>
      <c r="T7" s="103">
        <f t="shared" si="5"/>
        <v>81.886345698500406</v>
      </c>
      <c r="U7" s="105">
        <f t="shared" si="6"/>
        <v>0.17001828153564891</v>
      </c>
    </row>
    <row r="8" spans="2:21" ht="15" thickBot="1" x14ac:dyDescent="0.35">
      <c r="C8" s="5">
        <v>2010</v>
      </c>
      <c r="D8" s="14">
        <v>157189</v>
      </c>
      <c r="E8" s="104">
        <v>23.631</v>
      </c>
      <c r="F8" s="14">
        <v>131081</v>
      </c>
      <c r="G8" s="6">
        <v>17.052</v>
      </c>
      <c r="H8" s="122">
        <v>8.3653440712328759</v>
      </c>
      <c r="I8" s="122">
        <v>6.1315004767123282</v>
      </c>
      <c r="J8" s="122">
        <v>2.5550112273972601</v>
      </c>
      <c r="K8" s="18">
        <v>26108</v>
      </c>
      <c r="L8" s="19">
        <v>2.089</v>
      </c>
      <c r="M8" s="101">
        <f t="shared" si="0"/>
        <v>4.49</v>
      </c>
      <c r="N8" s="77"/>
      <c r="O8" s="7">
        <v>2010</v>
      </c>
      <c r="P8" s="102">
        <f t="shared" si="1"/>
        <v>150.33494710189643</v>
      </c>
      <c r="Q8" s="103">
        <f t="shared" si="2"/>
        <v>63.818128265979631</v>
      </c>
      <c r="R8" s="103">
        <f t="shared" si="3"/>
        <v>46.7764243232225</v>
      </c>
      <c r="S8" s="103">
        <f t="shared" si="4"/>
        <v>19.491850286443192</v>
      </c>
      <c r="T8" s="103">
        <f t="shared" si="5"/>
        <v>80.013788876972569</v>
      </c>
      <c r="U8" s="105">
        <f t="shared" si="6"/>
        <v>0.19000465490245863</v>
      </c>
    </row>
    <row r="9" spans="2:21" ht="15" thickBot="1" x14ac:dyDescent="0.35">
      <c r="C9" s="5">
        <v>2011</v>
      </c>
      <c r="D9" s="14">
        <v>158358</v>
      </c>
      <c r="E9" s="104">
        <v>20.978999999999999</v>
      </c>
      <c r="F9" s="14">
        <v>131483</v>
      </c>
      <c r="G9" s="6">
        <v>15.161</v>
      </c>
      <c r="H9" s="122">
        <v>7.415357854133207</v>
      </c>
      <c r="I9" s="122">
        <v>5.321988200283422</v>
      </c>
      <c r="J9" s="122">
        <v>2.4238195886632026</v>
      </c>
      <c r="K9" s="18">
        <v>26875</v>
      </c>
      <c r="L9" s="19">
        <v>2.4609999999999999</v>
      </c>
      <c r="M9" s="101">
        <f t="shared" si="0"/>
        <v>3.3569999999999998</v>
      </c>
      <c r="N9" s="77"/>
      <c r="O9" s="7">
        <v>2011</v>
      </c>
      <c r="P9" s="102">
        <f t="shared" si="1"/>
        <v>132.47830864244307</v>
      </c>
      <c r="Q9" s="103">
        <f t="shared" si="2"/>
        <v>56.397844999986368</v>
      </c>
      <c r="R9" s="103">
        <f t="shared" si="3"/>
        <v>40.476625877744063</v>
      </c>
      <c r="S9" s="103">
        <f t="shared" si="4"/>
        <v>18.434471290305233</v>
      </c>
      <c r="T9" s="103">
        <f t="shared" si="5"/>
        <v>91.572093023255817</v>
      </c>
      <c r="U9" s="105">
        <f t="shared" si="6"/>
        <v>0.16001716001716002</v>
      </c>
    </row>
    <row r="10" spans="2:21" ht="15" thickBot="1" x14ac:dyDescent="0.35">
      <c r="C10" s="5">
        <v>2012</v>
      </c>
      <c r="D10" s="14">
        <v>159527</v>
      </c>
      <c r="E10" s="104">
        <v>21.39</v>
      </c>
      <c r="F10" s="14">
        <v>131884</v>
      </c>
      <c r="G10" s="6">
        <v>15.46</v>
      </c>
      <c r="H10" s="122">
        <v>7.149666641534246</v>
      </c>
      <c r="I10" s="122">
        <v>5.2174547232876716</v>
      </c>
      <c r="J10" s="122">
        <v>3.0928929041095889</v>
      </c>
      <c r="K10" s="18">
        <v>27643</v>
      </c>
      <c r="L10" s="19">
        <v>2.7210000000000001</v>
      </c>
      <c r="M10" s="101">
        <f t="shared" si="0"/>
        <v>3.2089999999999996</v>
      </c>
      <c r="N10" s="77"/>
      <c r="O10" s="7">
        <v>2012</v>
      </c>
      <c r="P10" s="102">
        <f t="shared" si="1"/>
        <v>134.08388548646937</v>
      </c>
      <c r="Q10" s="103">
        <f t="shared" si="2"/>
        <v>54.211781880548401</v>
      </c>
      <c r="R10" s="103">
        <f t="shared" si="3"/>
        <v>39.56093781874732</v>
      </c>
      <c r="S10" s="103">
        <f t="shared" si="4"/>
        <v>23.451615845057692</v>
      </c>
      <c r="T10" s="103">
        <f t="shared" si="5"/>
        <v>98.433599826357494</v>
      </c>
      <c r="U10" s="105">
        <f t="shared" si="6"/>
        <v>0.15002337540906963</v>
      </c>
    </row>
    <row r="11" spans="2:21" ht="15" thickBot="1" x14ac:dyDescent="0.35">
      <c r="C11" s="5">
        <v>2013</v>
      </c>
      <c r="D11" s="14">
        <v>160697</v>
      </c>
      <c r="E11" s="104">
        <v>22.835000000000001</v>
      </c>
      <c r="F11" s="14">
        <v>132286</v>
      </c>
      <c r="G11" s="6">
        <v>16.646999999999998</v>
      </c>
      <c r="H11" s="122">
        <v>7.2402373095890402</v>
      </c>
      <c r="I11" s="122">
        <v>5.5236295671232876</v>
      </c>
      <c r="J11" s="122">
        <v>3.8831784712328767</v>
      </c>
      <c r="K11" s="18">
        <v>28411</v>
      </c>
      <c r="L11" s="19">
        <v>2.8769999999999998</v>
      </c>
      <c r="M11" s="101">
        <f t="shared" si="0"/>
        <v>3.3110000000000026</v>
      </c>
      <c r="N11" s="77"/>
      <c r="O11" s="7">
        <v>2013</v>
      </c>
      <c r="P11" s="102">
        <f t="shared" si="1"/>
        <v>142.0997280596402</v>
      </c>
      <c r="Q11" s="103">
        <f t="shared" si="2"/>
        <v>54.73169730424263</v>
      </c>
      <c r="R11" s="103">
        <f t="shared" si="3"/>
        <v>41.755208919487231</v>
      </c>
      <c r="S11" s="103">
        <f t="shared" si="4"/>
        <v>29.354417483580097</v>
      </c>
      <c r="T11" s="103">
        <f t="shared" si="5"/>
        <v>101.26359508641019</v>
      </c>
      <c r="U11" s="105">
        <f t="shared" si="6"/>
        <v>0.14499671556820681</v>
      </c>
    </row>
    <row r="12" spans="2:21" ht="15" thickBot="1" x14ac:dyDescent="0.35">
      <c r="C12" s="5">
        <v>2014</v>
      </c>
      <c r="D12" s="14">
        <v>161866</v>
      </c>
      <c r="E12" s="104">
        <v>23.07</v>
      </c>
      <c r="F12" s="14">
        <v>132688</v>
      </c>
      <c r="G12" s="6">
        <v>16.844999999999999</v>
      </c>
      <c r="H12" s="122">
        <v>7.2901196261917818</v>
      </c>
      <c r="I12" s="122">
        <v>5.6965979068493153</v>
      </c>
      <c r="J12" s="122">
        <v>3.8583182301369865</v>
      </c>
      <c r="K12" s="18">
        <v>29178</v>
      </c>
      <c r="L12" s="19">
        <v>2.996</v>
      </c>
      <c r="M12" s="101">
        <f t="shared" si="0"/>
        <v>3.2290000000000014</v>
      </c>
      <c r="N12" s="77"/>
      <c r="O12" s="7">
        <v>2014</v>
      </c>
      <c r="P12" s="102">
        <f t="shared" si="1"/>
        <v>142.52529870386616</v>
      </c>
      <c r="Q12" s="103">
        <f t="shared" si="2"/>
        <v>54.941815583864269</v>
      </c>
      <c r="R12" s="103">
        <f t="shared" si="3"/>
        <v>42.932276519725335</v>
      </c>
      <c r="S12" s="103">
        <f t="shared" si="4"/>
        <v>29.078124850302864</v>
      </c>
      <c r="T12" s="103">
        <f t="shared" si="5"/>
        <v>102.68010144629515</v>
      </c>
      <c r="U12" s="105">
        <f t="shared" si="6"/>
        <v>0.13996532293021247</v>
      </c>
    </row>
    <row r="13" spans="2:21" ht="15" thickBot="1" x14ac:dyDescent="0.35">
      <c r="C13" s="5">
        <v>2015</v>
      </c>
      <c r="D13" s="14">
        <v>163035</v>
      </c>
      <c r="E13" s="104">
        <v>23.260999999999999</v>
      </c>
      <c r="F13" s="14">
        <v>133089</v>
      </c>
      <c r="G13" s="6">
        <v>16.934999999999999</v>
      </c>
      <c r="H13" s="122">
        <v>7.3585779055266878</v>
      </c>
      <c r="I13" s="122">
        <v>5.8762813421993387</v>
      </c>
      <c r="J13" s="122">
        <v>3.7001226607463389</v>
      </c>
      <c r="K13" s="18">
        <v>29946</v>
      </c>
      <c r="L13" s="19">
        <v>3.0960000000000001</v>
      </c>
      <c r="M13" s="101">
        <f t="shared" si="0"/>
        <v>3.2300000000000004</v>
      </c>
      <c r="N13" s="77"/>
      <c r="O13" s="7">
        <v>2015</v>
      </c>
      <c r="P13" s="102">
        <f t="shared" si="1"/>
        <v>142.67488576072623</v>
      </c>
      <c r="Q13" s="103">
        <f t="shared" si="2"/>
        <v>55.290654415666864</v>
      </c>
      <c r="R13" s="103">
        <f t="shared" si="3"/>
        <v>44.153020476518257</v>
      </c>
      <c r="S13" s="103">
        <f t="shared" si="4"/>
        <v>27.801866876649001</v>
      </c>
      <c r="T13" s="103">
        <f t="shared" si="5"/>
        <v>103.38609497094771</v>
      </c>
      <c r="U13" s="105">
        <f t="shared" si="6"/>
        <v>0.13885903443532094</v>
      </c>
    </row>
    <row r="14" spans="2:21" ht="15" thickBot="1" x14ac:dyDescent="0.35">
      <c r="C14" s="5">
        <v>2016</v>
      </c>
      <c r="D14" s="14">
        <v>163694</v>
      </c>
      <c r="E14" s="104">
        <v>23.91</v>
      </c>
      <c r="F14" s="14">
        <v>133491</v>
      </c>
      <c r="G14" s="6">
        <v>16.440000000000001</v>
      </c>
      <c r="H14" s="122">
        <v>6.6732061753424654</v>
      </c>
      <c r="I14" s="122">
        <v>5.923</v>
      </c>
      <c r="J14" s="122">
        <v>3.8437322301369865</v>
      </c>
      <c r="K14" s="18">
        <v>30203</v>
      </c>
      <c r="L14" s="19">
        <v>3.6280000000000001</v>
      </c>
      <c r="M14" s="101">
        <f t="shared" si="0"/>
        <v>3.8419999999999987</v>
      </c>
      <c r="N14" s="77"/>
      <c r="O14" s="7">
        <v>2016</v>
      </c>
      <c r="P14" s="102">
        <f t="shared" si="1"/>
        <v>146.06521925055287</v>
      </c>
      <c r="Q14" s="103">
        <f t="shared" si="2"/>
        <v>49.989933219036985</v>
      </c>
      <c r="R14" s="103">
        <f t="shared" si="3"/>
        <v>44.370032436643669</v>
      </c>
      <c r="S14" s="103">
        <f t="shared" si="4"/>
        <v>28.793942888561673</v>
      </c>
      <c r="T14" s="103">
        <f t="shared" si="5"/>
        <v>120.1205178293547</v>
      </c>
      <c r="U14" s="105">
        <f t="shared" si="6"/>
        <v>0.16068590547887907</v>
      </c>
    </row>
    <row r="15" spans="2:21" x14ac:dyDescent="0.3"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21" x14ac:dyDescent="0.3">
      <c r="B16" s="2" t="s">
        <v>159</v>
      </c>
    </row>
    <row r="17" spans="2:21" x14ac:dyDescent="0.3">
      <c r="B17">
        <v>1</v>
      </c>
      <c r="C17" t="s">
        <v>162</v>
      </c>
    </row>
    <row r="18" spans="2:21" x14ac:dyDescent="0.3">
      <c r="B18">
        <v>2</v>
      </c>
      <c r="C18" t="s">
        <v>161</v>
      </c>
    </row>
    <row r="19" spans="2:21" x14ac:dyDescent="0.3">
      <c r="B19">
        <v>3</v>
      </c>
      <c r="C19" t="s">
        <v>156</v>
      </c>
    </row>
    <row r="20" spans="2:21" x14ac:dyDescent="0.3">
      <c r="B20">
        <v>4</v>
      </c>
      <c r="C20" t="s">
        <v>157</v>
      </c>
    </row>
    <row r="21" spans="2:21" x14ac:dyDescent="0.3">
      <c r="B21">
        <v>5</v>
      </c>
      <c r="C21" t="s">
        <v>158</v>
      </c>
    </row>
    <row r="23" spans="2:21" ht="34.200000000000003" x14ac:dyDescent="0.3">
      <c r="C23" s="22" t="s">
        <v>35</v>
      </c>
      <c r="D23" s="22" t="s">
        <v>37</v>
      </c>
      <c r="E23" s="116" t="s">
        <v>154</v>
      </c>
      <c r="O23" s="113"/>
      <c r="P23" s="114"/>
    </row>
    <row r="24" spans="2:21" x14ac:dyDescent="0.3">
      <c r="C24" s="23">
        <v>2007</v>
      </c>
      <c r="D24" s="119">
        <v>21.794381818181819</v>
      </c>
      <c r="E24" s="117"/>
      <c r="F24" s="98"/>
      <c r="G24" s="98"/>
      <c r="H24" s="98"/>
      <c r="I24" s="98"/>
      <c r="J24" s="98"/>
      <c r="K24" s="98"/>
      <c r="L24" s="98"/>
      <c r="M24" s="98"/>
      <c r="N24" s="98"/>
      <c r="O24" s="113"/>
      <c r="P24" s="115"/>
    </row>
    <row r="25" spans="2:21" x14ac:dyDescent="0.3">
      <c r="B25">
        <v>1</v>
      </c>
      <c r="C25" s="23">
        <v>2008</v>
      </c>
      <c r="D25" s="119">
        <v>21.964830303030304</v>
      </c>
      <c r="E25" s="118">
        <f>D25-D24</f>
        <v>0.17044848484848529</v>
      </c>
      <c r="F25" s="98"/>
      <c r="G25" s="98"/>
      <c r="H25" s="98"/>
      <c r="I25" s="98"/>
      <c r="J25" s="98"/>
      <c r="K25" s="98"/>
      <c r="L25" s="98"/>
      <c r="M25" s="98"/>
      <c r="N25" s="98"/>
      <c r="O25" s="113"/>
      <c r="P25" s="115"/>
    </row>
    <row r="26" spans="2:21" x14ac:dyDescent="0.3">
      <c r="B26">
        <v>2</v>
      </c>
      <c r="C26" s="23">
        <v>2009</v>
      </c>
      <c r="D26" s="119">
        <v>22.135278787878789</v>
      </c>
      <c r="E26" s="118">
        <f t="shared" ref="E26:E33" si="7">D26-D25</f>
        <v>0.17044848484848529</v>
      </c>
      <c r="F26" s="98"/>
      <c r="G26" s="98"/>
      <c r="H26" s="98"/>
      <c r="I26" s="98"/>
      <c r="J26" s="98"/>
      <c r="K26" s="98"/>
      <c r="L26" s="98"/>
      <c r="M26" s="98"/>
      <c r="N26" s="98"/>
      <c r="O26" s="113"/>
      <c r="P26" s="115"/>
    </row>
    <row r="27" spans="2:21" x14ac:dyDescent="0.3">
      <c r="B27">
        <v>3</v>
      </c>
      <c r="C27" s="23">
        <v>2010</v>
      </c>
      <c r="D27" s="119">
        <v>22.305727272727275</v>
      </c>
      <c r="E27" s="118">
        <f t="shared" si="7"/>
        <v>0.17044848484848529</v>
      </c>
      <c r="F27" s="98"/>
      <c r="G27" s="98"/>
      <c r="H27" s="98"/>
      <c r="I27" s="98"/>
      <c r="J27" s="98"/>
      <c r="K27" s="98"/>
      <c r="L27" s="98"/>
      <c r="M27" s="98"/>
      <c r="N27" s="98"/>
      <c r="O27" s="113"/>
      <c r="P27" s="115"/>
      <c r="U27" s="99"/>
    </row>
    <row r="28" spans="2:21" x14ac:dyDescent="0.3">
      <c r="B28">
        <v>4</v>
      </c>
      <c r="C28" s="23">
        <v>2011</v>
      </c>
      <c r="D28" s="119">
        <v>22.476175757575756</v>
      </c>
      <c r="E28" s="118">
        <f t="shared" si="7"/>
        <v>0.17044848484848174</v>
      </c>
      <c r="F28" s="98"/>
      <c r="G28" s="98"/>
      <c r="H28" s="98"/>
      <c r="I28" s="98"/>
      <c r="J28" s="98"/>
      <c r="K28" s="98"/>
      <c r="L28" s="98"/>
      <c r="M28" s="98"/>
      <c r="N28" s="98"/>
      <c r="O28" s="113"/>
      <c r="P28" s="115"/>
    </row>
    <row r="29" spans="2:21" x14ac:dyDescent="0.3">
      <c r="B29">
        <v>5</v>
      </c>
      <c r="C29" s="23">
        <v>2012</v>
      </c>
      <c r="D29" s="119">
        <v>22.646624242424242</v>
      </c>
      <c r="E29" s="118">
        <f t="shared" si="7"/>
        <v>0.17044848484848529</v>
      </c>
      <c r="F29" s="98"/>
      <c r="G29" s="98"/>
      <c r="H29" s="98"/>
      <c r="I29" s="98"/>
      <c r="J29" s="98"/>
      <c r="K29" s="98"/>
      <c r="L29" s="98"/>
      <c r="M29" s="98"/>
      <c r="N29" s="98"/>
      <c r="O29" s="113"/>
      <c r="P29" s="115"/>
    </row>
    <row r="30" spans="2:21" x14ac:dyDescent="0.3">
      <c r="B30">
        <v>6</v>
      </c>
      <c r="C30" s="23">
        <v>2013</v>
      </c>
      <c r="D30" s="119">
        <v>22.817072727272727</v>
      </c>
      <c r="E30" s="118">
        <f t="shared" si="7"/>
        <v>0.17044848484848529</v>
      </c>
      <c r="F30" s="98"/>
      <c r="G30" s="98"/>
      <c r="H30" s="98"/>
      <c r="I30" s="98"/>
      <c r="J30" s="98"/>
      <c r="K30" s="98"/>
      <c r="L30" s="98"/>
      <c r="M30" s="98"/>
      <c r="N30" s="98"/>
      <c r="O30" s="113"/>
      <c r="P30" s="115"/>
    </row>
    <row r="31" spans="2:21" x14ac:dyDescent="0.3">
      <c r="B31">
        <v>7</v>
      </c>
      <c r="C31" s="23">
        <v>2014</v>
      </c>
      <c r="D31" s="119">
        <v>22.987521212121212</v>
      </c>
      <c r="E31" s="118">
        <f t="shared" si="7"/>
        <v>0.17044848484848529</v>
      </c>
      <c r="F31" s="98"/>
      <c r="G31" s="98"/>
      <c r="H31" s="98"/>
      <c r="I31" s="98"/>
      <c r="J31" s="98"/>
      <c r="K31" s="98"/>
      <c r="L31" s="98"/>
      <c r="M31" s="98"/>
      <c r="N31" s="98"/>
      <c r="O31" s="113"/>
      <c r="P31" s="115"/>
    </row>
    <row r="32" spans="2:21" x14ac:dyDescent="0.3">
      <c r="B32">
        <v>8</v>
      </c>
      <c r="C32" s="23">
        <v>2015</v>
      </c>
      <c r="D32" s="119">
        <v>23.157969696969698</v>
      </c>
      <c r="E32" s="118">
        <f t="shared" si="7"/>
        <v>0.17044848484848529</v>
      </c>
      <c r="F32" s="98"/>
      <c r="G32" s="98"/>
      <c r="H32" s="98"/>
      <c r="I32" s="98"/>
      <c r="J32" s="98"/>
      <c r="K32" s="98"/>
      <c r="L32" s="98"/>
      <c r="M32" s="98"/>
      <c r="N32" s="98"/>
      <c r="O32" s="113"/>
      <c r="P32" s="115"/>
    </row>
    <row r="33" spans="2:16" x14ac:dyDescent="0.3">
      <c r="B33">
        <v>9</v>
      </c>
      <c r="C33" s="23">
        <v>2016</v>
      </c>
      <c r="D33" s="119">
        <v>23.328418181818183</v>
      </c>
      <c r="E33" s="118">
        <f t="shared" si="7"/>
        <v>0.17044848484848529</v>
      </c>
      <c r="F33" s="98"/>
      <c r="G33" s="98"/>
      <c r="H33" s="98"/>
      <c r="I33" s="98"/>
      <c r="J33" s="98"/>
      <c r="K33" s="98"/>
      <c r="L33" s="98"/>
      <c r="M33" s="98"/>
      <c r="N33" s="98"/>
      <c r="O33" s="113"/>
      <c r="P33" s="115"/>
    </row>
    <row r="34" spans="2:16" x14ac:dyDescent="0.3">
      <c r="F34" s="98"/>
      <c r="G34" s="98"/>
      <c r="H34" s="98"/>
      <c r="I34" s="98"/>
      <c r="J34" s="98"/>
      <c r="K34" s="98"/>
      <c r="L34" s="98"/>
      <c r="M34" s="98"/>
      <c r="N34" s="98"/>
      <c r="O34" s="113"/>
      <c r="P34" s="113"/>
    </row>
    <row r="35" spans="2:16" x14ac:dyDescent="0.3">
      <c r="C35" t="s">
        <v>155</v>
      </c>
      <c r="D35" s="24">
        <f>(D33/D24)^(1/9)-1</f>
        <v>7.5864165861909694E-3</v>
      </c>
      <c r="F35" s="99"/>
      <c r="G35" s="98"/>
      <c r="H35" s="98"/>
      <c r="I35" s="98"/>
      <c r="J35" s="98"/>
      <c r="K35" s="99"/>
      <c r="L35" s="98"/>
      <c r="M35" s="99"/>
      <c r="N35" s="98"/>
      <c r="O35" s="113"/>
      <c r="P35" s="113"/>
    </row>
    <row r="37" spans="2:16" x14ac:dyDescent="0.3">
      <c r="B37" s="2" t="s">
        <v>160</v>
      </c>
    </row>
    <row r="38" spans="2:16" x14ac:dyDescent="0.3">
      <c r="B38">
        <v>1</v>
      </c>
      <c r="C38" t="s">
        <v>164</v>
      </c>
    </row>
    <row r="39" spans="2:16" x14ac:dyDescent="0.3">
      <c r="B39">
        <v>2</v>
      </c>
      <c r="C39" t="s">
        <v>163</v>
      </c>
    </row>
    <row r="40" spans="2:16" x14ac:dyDescent="0.3">
      <c r="B40">
        <v>3</v>
      </c>
      <c r="C40" t="s">
        <v>165</v>
      </c>
    </row>
    <row r="41" spans="2:16" x14ac:dyDescent="0.3">
      <c r="B41">
        <v>4</v>
      </c>
      <c r="C41" t="s">
        <v>166</v>
      </c>
    </row>
    <row r="42" spans="2:16" x14ac:dyDescent="0.3">
      <c r="B42">
        <v>5</v>
      </c>
      <c r="C42" t="s">
        <v>167</v>
      </c>
    </row>
    <row r="43" spans="2:16" x14ac:dyDescent="0.3">
      <c r="B43">
        <v>6</v>
      </c>
      <c r="C43" t="s">
        <v>168</v>
      </c>
    </row>
  </sheetData>
  <pageMargins left="0.25" right="0.25" top="0.75" bottom="0.75" header="0.3" footer="0.3"/>
  <pageSetup scale="62" orientation="landscape" r:id="rId1"/>
  <headerFooter>
    <oddFooter>&amp;L&amp;A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5"/>
  <sheetViews>
    <sheetView workbookViewId="0"/>
  </sheetViews>
  <sheetFormatPr defaultRowHeight="14.4" x14ac:dyDescent="0.3"/>
  <cols>
    <col min="3" max="5" width="10.6640625" customWidth="1"/>
    <col min="7" max="7" width="11.109375" customWidth="1"/>
    <col min="8" max="8" width="10.88671875" customWidth="1"/>
    <col min="10" max="10" width="10.109375" customWidth="1"/>
    <col min="11" max="11" width="10" customWidth="1"/>
  </cols>
  <sheetData>
    <row r="3" spans="1:12" x14ac:dyDescent="0.3">
      <c r="A3" t="s">
        <v>175</v>
      </c>
    </row>
    <row r="4" spans="1:12" ht="57.6" x14ac:dyDescent="0.3">
      <c r="B4" s="107" t="s">
        <v>35</v>
      </c>
      <c r="C4" s="106" t="s">
        <v>36</v>
      </c>
      <c r="D4" s="106" t="s">
        <v>37</v>
      </c>
      <c r="E4" s="106" t="s">
        <v>39</v>
      </c>
      <c r="F4" s="106" t="s">
        <v>40</v>
      </c>
      <c r="G4" s="106" t="s">
        <v>169</v>
      </c>
      <c r="H4" s="106" t="s">
        <v>170</v>
      </c>
      <c r="I4" s="106" t="s">
        <v>171</v>
      </c>
      <c r="J4" s="106" t="s">
        <v>41</v>
      </c>
      <c r="K4" s="106" t="s">
        <v>42</v>
      </c>
      <c r="L4" s="106" t="s">
        <v>151</v>
      </c>
    </row>
    <row r="5" spans="1:12" x14ac:dyDescent="0.3">
      <c r="B5" s="108">
        <v>2007</v>
      </c>
      <c r="C5" s="160">
        <v>153680</v>
      </c>
      <c r="D5" s="160">
        <v>21.177</v>
      </c>
      <c r="E5" s="160">
        <v>129875</v>
      </c>
      <c r="F5" s="160">
        <v>15.955</v>
      </c>
      <c r="G5" s="160">
        <v>8.2233261483230997</v>
      </c>
      <c r="H5" s="160">
        <v>5.442679643268777</v>
      </c>
      <c r="I5" s="160">
        <v>2.2893373505904582</v>
      </c>
      <c r="J5" s="160">
        <v>23805</v>
      </c>
      <c r="K5" s="160">
        <v>1.7270000000000001</v>
      </c>
      <c r="L5" s="161">
        <v>3.4949999999999992</v>
      </c>
    </row>
    <row r="6" spans="1:12" x14ac:dyDescent="0.3">
      <c r="B6" s="109">
        <v>2008</v>
      </c>
      <c r="C6" s="112">
        <v>154850</v>
      </c>
      <c r="D6" s="112">
        <v>22.934000000000001</v>
      </c>
      <c r="E6" s="112">
        <v>130278</v>
      </c>
      <c r="F6" s="112">
        <v>17.050999999999998</v>
      </c>
      <c r="G6" s="112">
        <v>8.60479424109589</v>
      </c>
      <c r="H6" s="112">
        <v>5.9323254958904101</v>
      </c>
      <c r="I6" s="112">
        <v>2.5139224602739727</v>
      </c>
      <c r="J6" s="112">
        <v>24573</v>
      </c>
      <c r="K6" s="112">
        <v>1.984</v>
      </c>
      <c r="L6" s="110">
        <v>3.8990000000000027</v>
      </c>
    </row>
    <row r="7" spans="1:12" x14ac:dyDescent="0.3">
      <c r="B7" s="109">
        <v>2009</v>
      </c>
      <c r="C7" s="112">
        <v>156020</v>
      </c>
      <c r="D7" s="112">
        <v>22.427</v>
      </c>
      <c r="E7" s="112">
        <v>130680</v>
      </c>
      <c r="F7" s="112">
        <v>16.539000000000001</v>
      </c>
      <c r="G7" s="112">
        <v>8.2238573095890413</v>
      </c>
      <c r="H7" s="112">
        <v>5.8286660164383557</v>
      </c>
      <c r="I7" s="112">
        <v>2.4869155616438356</v>
      </c>
      <c r="J7" s="112">
        <v>25340</v>
      </c>
      <c r="K7" s="112">
        <v>2.0750000000000002</v>
      </c>
      <c r="L7" s="110">
        <v>3.8129999999999979</v>
      </c>
    </row>
    <row r="8" spans="1:12" x14ac:dyDescent="0.3">
      <c r="B8" s="109">
        <v>2010</v>
      </c>
      <c r="C8" s="112">
        <v>157189</v>
      </c>
      <c r="D8" s="112">
        <v>23.631</v>
      </c>
      <c r="E8" s="112">
        <v>131081</v>
      </c>
      <c r="F8" s="112">
        <v>17.052</v>
      </c>
      <c r="G8" s="112">
        <v>8.3653440712328759</v>
      </c>
      <c r="H8" s="112">
        <v>6.1315004767123282</v>
      </c>
      <c r="I8" s="112">
        <v>2.5550112273972601</v>
      </c>
      <c r="J8" s="112">
        <v>26108</v>
      </c>
      <c r="K8" s="112">
        <v>2.089</v>
      </c>
      <c r="L8" s="110">
        <v>4.49</v>
      </c>
    </row>
    <row r="9" spans="1:12" x14ac:dyDescent="0.3">
      <c r="B9" s="109">
        <v>2011</v>
      </c>
      <c r="C9" s="112">
        <v>158358</v>
      </c>
      <c r="D9" s="112">
        <v>20.978999999999999</v>
      </c>
      <c r="E9" s="112">
        <v>131483</v>
      </c>
      <c r="F9" s="112">
        <v>15.161</v>
      </c>
      <c r="G9" s="112">
        <v>7.415357854133207</v>
      </c>
      <c r="H9" s="112">
        <v>5.321988200283422</v>
      </c>
      <c r="I9" s="112">
        <v>2.4238195886632026</v>
      </c>
      <c r="J9" s="112">
        <v>26875</v>
      </c>
      <c r="K9" s="112">
        <v>2.4609999999999999</v>
      </c>
      <c r="L9" s="110">
        <v>3.3569999999999998</v>
      </c>
    </row>
    <row r="10" spans="1:12" x14ac:dyDescent="0.3">
      <c r="B10" s="109">
        <v>2012</v>
      </c>
      <c r="C10" s="112">
        <v>159527</v>
      </c>
      <c r="D10" s="112">
        <v>21.39</v>
      </c>
      <c r="E10" s="112">
        <v>131884</v>
      </c>
      <c r="F10" s="112">
        <v>15.46</v>
      </c>
      <c r="G10" s="112">
        <v>7.149666641534246</v>
      </c>
      <c r="H10" s="112">
        <v>5.2174547232876716</v>
      </c>
      <c r="I10" s="112">
        <v>3.0928929041095889</v>
      </c>
      <c r="J10" s="112">
        <v>27643</v>
      </c>
      <c r="K10" s="112">
        <v>2.7210000000000001</v>
      </c>
      <c r="L10" s="110">
        <v>3.2089999999999996</v>
      </c>
    </row>
    <row r="11" spans="1:12" x14ac:dyDescent="0.3">
      <c r="B11" s="109">
        <v>2013</v>
      </c>
      <c r="C11" s="112">
        <v>160697</v>
      </c>
      <c r="D11" s="112">
        <v>22.835000000000001</v>
      </c>
      <c r="E11" s="112">
        <v>132286</v>
      </c>
      <c r="F11" s="112">
        <v>16.646999999999998</v>
      </c>
      <c r="G11" s="112">
        <v>7.2402373095890402</v>
      </c>
      <c r="H11" s="112">
        <v>5.5236295671232876</v>
      </c>
      <c r="I11" s="112">
        <v>3.8831784712328767</v>
      </c>
      <c r="J11" s="112">
        <v>28411</v>
      </c>
      <c r="K11" s="112">
        <v>2.8769999999999998</v>
      </c>
      <c r="L11" s="110">
        <v>3.3110000000000026</v>
      </c>
    </row>
    <row r="12" spans="1:12" x14ac:dyDescent="0.3">
      <c r="B12" s="109">
        <v>2014</v>
      </c>
      <c r="C12" s="112">
        <v>161866</v>
      </c>
      <c r="D12" s="112">
        <v>23.07</v>
      </c>
      <c r="E12" s="112">
        <v>132688</v>
      </c>
      <c r="F12" s="112">
        <v>16.844999999999999</v>
      </c>
      <c r="G12" s="112">
        <v>7.2901196261917818</v>
      </c>
      <c r="H12" s="112">
        <v>5.6965979068493153</v>
      </c>
      <c r="I12" s="112">
        <v>3.8583182301369865</v>
      </c>
      <c r="J12" s="112">
        <v>29178</v>
      </c>
      <c r="K12" s="112">
        <v>2.996</v>
      </c>
      <c r="L12" s="110">
        <v>3.2290000000000014</v>
      </c>
    </row>
    <row r="13" spans="1:12" x14ac:dyDescent="0.3">
      <c r="B13" s="109">
        <v>2015</v>
      </c>
      <c r="C13" s="112">
        <v>163035</v>
      </c>
      <c r="D13" s="112">
        <v>23.260999999999999</v>
      </c>
      <c r="E13" s="112">
        <v>133089</v>
      </c>
      <c r="F13" s="112">
        <v>16.934999999999999</v>
      </c>
      <c r="G13" s="112">
        <v>7.3585779055266878</v>
      </c>
      <c r="H13" s="112">
        <v>5.8762813421993387</v>
      </c>
      <c r="I13" s="112">
        <v>3.7001226607463389</v>
      </c>
      <c r="J13" s="112">
        <v>29946</v>
      </c>
      <c r="K13" s="112">
        <v>3.0960000000000001</v>
      </c>
      <c r="L13" s="110">
        <v>3.2300000000000004</v>
      </c>
    </row>
    <row r="14" spans="1:12" x14ac:dyDescent="0.3">
      <c r="B14" s="111">
        <v>2016</v>
      </c>
      <c r="C14" s="162">
        <v>163694</v>
      </c>
      <c r="D14" s="162">
        <v>23.91</v>
      </c>
      <c r="E14" s="162">
        <v>133491</v>
      </c>
      <c r="F14" s="162">
        <v>16.440000000000001</v>
      </c>
      <c r="G14" s="162">
        <v>6.6732061753424654</v>
      </c>
      <c r="H14" s="162">
        <v>5.923</v>
      </c>
      <c r="I14" s="162">
        <v>3.8437322301369865</v>
      </c>
      <c r="J14" s="162">
        <v>30203</v>
      </c>
      <c r="K14" s="162">
        <v>3.6280000000000001</v>
      </c>
      <c r="L14" s="163">
        <v>3.8419999999999987</v>
      </c>
    </row>
    <row r="15" spans="1:12" x14ac:dyDescent="0.3">
      <c r="A15" t="s">
        <v>176</v>
      </c>
    </row>
    <row r="16" spans="1:12" x14ac:dyDescent="0.3">
      <c r="B16" s="108">
        <v>2007</v>
      </c>
      <c r="C16" s="160">
        <v>153754.94545454546</v>
      </c>
      <c r="D16" s="160">
        <v>21.794381818181819</v>
      </c>
      <c r="E16" s="160">
        <v>129875.94545454545</v>
      </c>
      <c r="F16" s="160">
        <v>16.294854545454545</v>
      </c>
      <c r="G16" s="160">
        <v>8.4994749288102049</v>
      </c>
      <c r="H16" s="160">
        <v>5.652809954086143</v>
      </c>
      <c r="I16" s="160">
        <v>2.1428102400755789</v>
      </c>
      <c r="J16" s="160">
        <v>23879.290909090909</v>
      </c>
      <c r="K16" s="160">
        <v>1.6893454545454543</v>
      </c>
      <c r="L16" s="161">
        <v>3.8101818181818188</v>
      </c>
    </row>
    <row r="17" spans="1:12" x14ac:dyDescent="0.3">
      <c r="B17" s="109">
        <v>2008</v>
      </c>
      <c r="C17" s="112">
        <v>154896.42424242425</v>
      </c>
      <c r="D17" s="112">
        <v>21.964830303030304</v>
      </c>
      <c r="E17" s="112">
        <v>130277.62424242424</v>
      </c>
      <c r="F17" s="112">
        <v>16.320109090909092</v>
      </c>
      <c r="G17" s="112">
        <v>8.3116913286870115</v>
      </c>
      <c r="H17" s="112">
        <v>5.6609438170015087</v>
      </c>
      <c r="I17" s="112">
        <v>2.3476802019461505</v>
      </c>
      <c r="J17" s="112">
        <v>24619.048484848485</v>
      </c>
      <c r="K17" s="112">
        <v>1.8840242424242422</v>
      </c>
      <c r="L17" s="110">
        <v>3.7606969696969705</v>
      </c>
    </row>
    <row r="18" spans="1:12" x14ac:dyDescent="0.3">
      <c r="B18" s="109">
        <v>2009</v>
      </c>
      <c r="C18" s="112">
        <v>156037.90303030304</v>
      </c>
      <c r="D18" s="112">
        <v>22.135278787878789</v>
      </c>
      <c r="E18" s="112">
        <v>130679.30303030302</v>
      </c>
      <c r="F18" s="112">
        <v>16.345363636363636</v>
      </c>
      <c r="G18" s="112">
        <v>8.1239077285638182</v>
      </c>
      <c r="H18" s="112">
        <v>5.6690776799168754</v>
      </c>
      <c r="I18" s="112">
        <v>2.5525501638167221</v>
      </c>
      <c r="J18" s="112">
        <v>25358.806060606061</v>
      </c>
      <c r="K18" s="112">
        <v>2.0787030303030303</v>
      </c>
      <c r="L18" s="110">
        <v>3.7112121212121219</v>
      </c>
    </row>
    <row r="19" spans="1:12" x14ac:dyDescent="0.3">
      <c r="B19" s="109">
        <v>2010</v>
      </c>
      <c r="C19" s="112">
        <v>157179.38181818184</v>
      </c>
      <c r="D19" s="112">
        <v>22.305727272727275</v>
      </c>
      <c r="E19" s="112">
        <v>131080.98181818181</v>
      </c>
      <c r="F19" s="112">
        <v>16.370618181818184</v>
      </c>
      <c r="G19" s="112">
        <v>7.9361241284406248</v>
      </c>
      <c r="H19" s="112">
        <v>5.6772115428322412</v>
      </c>
      <c r="I19" s="112">
        <v>2.7574201256872937</v>
      </c>
      <c r="J19" s="112">
        <v>26098.563636363637</v>
      </c>
      <c r="K19" s="112">
        <v>2.2733818181818179</v>
      </c>
      <c r="L19" s="110">
        <v>3.6617272727272736</v>
      </c>
    </row>
    <row r="20" spans="1:12" x14ac:dyDescent="0.3">
      <c r="B20" s="109">
        <v>2011</v>
      </c>
      <c r="C20" s="112">
        <v>158320.86060606063</v>
      </c>
      <c r="D20" s="112">
        <v>22.476175757575756</v>
      </c>
      <c r="E20" s="112">
        <v>131482.66060606061</v>
      </c>
      <c r="F20" s="112">
        <v>16.395872727272728</v>
      </c>
      <c r="G20" s="112">
        <v>7.7483405283174314</v>
      </c>
      <c r="H20" s="112">
        <v>5.6853454057476078</v>
      </c>
      <c r="I20" s="112">
        <v>2.9622900875578653</v>
      </c>
      <c r="J20" s="112">
        <v>26838.321212121213</v>
      </c>
      <c r="K20" s="112">
        <v>2.4680606060606056</v>
      </c>
      <c r="L20" s="110">
        <v>3.6122424242424249</v>
      </c>
    </row>
    <row r="21" spans="1:12" x14ac:dyDescent="0.3">
      <c r="B21" s="109">
        <v>2012</v>
      </c>
      <c r="C21" s="112">
        <v>159462.33939393942</v>
      </c>
      <c r="D21" s="112">
        <v>22.646624242424242</v>
      </c>
      <c r="E21" s="112">
        <v>131884.33939393939</v>
      </c>
      <c r="F21" s="112">
        <v>16.421127272727272</v>
      </c>
      <c r="G21" s="112">
        <v>7.560556928194238</v>
      </c>
      <c r="H21" s="112">
        <v>5.6934792686629736</v>
      </c>
      <c r="I21" s="112">
        <v>3.1671600494284364</v>
      </c>
      <c r="J21" s="112">
        <v>27578.078787878789</v>
      </c>
      <c r="K21" s="112">
        <v>2.6627393939393937</v>
      </c>
      <c r="L21" s="110">
        <v>3.5627575757575767</v>
      </c>
    </row>
    <row r="22" spans="1:12" x14ac:dyDescent="0.3">
      <c r="B22" s="109">
        <v>2013</v>
      </c>
      <c r="C22" s="112">
        <v>160603.81818181821</v>
      </c>
      <c r="D22" s="112">
        <v>22.817072727272727</v>
      </c>
      <c r="E22" s="112">
        <v>132286.01818181819</v>
      </c>
      <c r="F22" s="112">
        <v>16.44638181818182</v>
      </c>
      <c r="G22" s="112">
        <v>7.3727733280710446</v>
      </c>
      <c r="H22" s="112">
        <v>5.7016131315783403</v>
      </c>
      <c r="I22" s="112">
        <v>3.3720300112990085</v>
      </c>
      <c r="J22" s="112">
        <v>28317.836363636365</v>
      </c>
      <c r="K22" s="112">
        <v>2.8574181818181819</v>
      </c>
      <c r="L22" s="110">
        <v>3.513272727272728</v>
      </c>
    </row>
    <row r="23" spans="1:12" x14ac:dyDescent="0.3">
      <c r="B23" s="109">
        <v>2014</v>
      </c>
      <c r="C23" s="112">
        <v>161745.296969697</v>
      </c>
      <c r="D23" s="112">
        <v>22.987521212121212</v>
      </c>
      <c r="E23" s="112">
        <v>132687.69696969696</v>
      </c>
      <c r="F23" s="112">
        <v>16.471636363636364</v>
      </c>
      <c r="G23" s="112">
        <v>7.1849897279478512</v>
      </c>
      <c r="H23" s="112">
        <v>5.709746994493706</v>
      </c>
      <c r="I23" s="112">
        <v>3.5768999731695796</v>
      </c>
      <c r="J23" s="112">
        <v>29057.593939393941</v>
      </c>
      <c r="K23" s="112">
        <v>3.0520969696969695</v>
      </c>
      <c r="L23" s="110">
        <v>3.4637878787878797</v>
      </c>
    </row>
    <row r="24" spans="1:12" x14ac:dyDescent="0.3">
      <c r="B24" s="109">
        <v>2015</v>
      </c>
      <c r="C24" s="112">
        <v>162886.77575757576</v>
      </c>
      <c r="D24" s="112">
        <v>23.157969696969698</v>
      </c>
      <c r="E24" s="112">
        <v>133089.37575757576</v>
      </c>
      <c r="F24" s="112">
        <v>16.496890909090908</v>
      </c>
      <c r="G24" s="112">
        <v>6.9972061278246578</v>
      </c>
      <c r="H24" s="112">
        <v>5.7178808574090727</v>
      </c>
      <c r="I24" s="112">
        <v>3.7817699350401517</v>
      </c>
      <c r="J24" s="112">
        <v>29797.351515151517</v>
      </c>
      <c r="K24" s="112">
        <v>3.2467757575757572</v>
      </c>
      <c r="L24" s="110">
        <v>3.4143030303030311</v>
      </c>
    </row>
    <row r="25" spans="1:12" x14ac:dyDescent="0.3">
      <c r="B25" s="111">
        <v>2016</v>
      </c>
      <c r="C25" s="162">
        <v>164028.25454545455</v>
      </c>
      <c r="D25" s="162">
        <v>23.328418181818183</v>
      </c>
      <c r="E25" s="162">
        <v>133491.05454545454</v>
      </c>
      <c r="F25" s="162">
        <v>16.522145454545456</v>
      </c>
      <c r="G25" s="162">
        <v>6.8094225277014644</v>
      </c>
      <c r="H25" s="162">
        <v>5.7260147203244385</v>
      </c>
      <c r="I25" s="162">
        <v>3.9866398969107228</v>
      </c>
      <c r="J25" s="162">
        <v>30537.109090909093</v>
      </c>
      <c r="K25" s="162">
        <v>3.4414545454545453</v>
      </c>
      <c r="L25" s="163">
        <v>3.3648181818181828</v>
      </c>
    </row>
    <row r="27" spans="1:12" x14ac:dyDescent="0.3">
      <c r="B27" s="164" t="s">
        <v>155</v>
      </c>
      <c r="C27" s="24">
        <f>(C25/C16)^(1/9)-1</f>
        <v>7.2123988582144527E-3</v>
      </c>
      <c r="D27" s="24">
        <f t="shared" ref="D27:L27" si="0">(D25/D16)^(1/9)-1</f>
        <v>7.5864165861909694E-3</v>
      </c>
      <c r="E27" s="24">
        <f t="shared" si="0"/>
        <v>3.0551841827595183E-3</v>
      </c>
      <c r="F27" s="24">
        <f t="shared" si="0"/>
        <v>1.5403232889685814E-3</v>
      </c>
      <c r="G27" s="24">
        <f t="shared" si="0"/>
        <v>-2.4332091093176911E-2</v>
      </c>
      <c r="H27" s="24">
        <f t="shared" si="0"/>
        <v>1.4306912331092381E-3</v>
      </c>
      <c r="I27" s="24">
        <f t="shared" si="0"/>
        <v>7.1416040285771754E-2</v>
      </c>
      <c r="J27" s="24">
        <f t="shared" si="0"/>
        <v>2.7702441424139357E-2</v>
      </c>
      <c r="K27" s="24">
        <f t="shared" si="0"/>
        <v>8.2270827503736044E-2</v>
      </c>
      <c r="L27" s="24">
        <f t="shared" si="0"/>
        <v>-1.3716501824794003E-2</v>
      </c>
    </row>
    <row r="28" spans="1:12" x14ac:dyDescent="0.3">
      <c r="B28" s="164" t="s">
        <v>154</v>
      </c>
      <c r="C28" s="38">
        <f>C25-C24</f>
        <v>1141.4787878787902</v>
      </c>
      <c r="D28" s="165">
        <f t="shared" ref="D28:L28" si="1">D25-D24</f>
        <v>0.17044848484848529</v>
      </c>
      <c r="E28" s="165">
        <f t="shared" si="1"/>
        <v>401.67878787877271</v>
      </c>
      <c r="F28" s="165">
        <f t="shared" si="1"/>
        <v>2.5254545454547639E-2</v>
      </c>
      <c r="G28" s="165">
        <f t="shared" si="1"/>
        <v>-0.18778360012319339</v>
      </c>
      <c r="H28" s="165">
        <f t="shared" si="1"/>
        <v>8.1338629153657749E-3</v>
      </c>
      <c r="I28" s="165">
        <f t="shared" si="1"/>
        <v>0.20486996187057116</v>
      </c>
      <c r="J28" s="165">
        <f t="shared" si="1"/>
        <v>739.75757575757598</v>
      </c>
      <c r="K28" s="165">
        <f t="shared" si="1"/>
        <v>0.19467878787878812</v>
      </c>
      <c r="L28" s="165">
        <f t="shared" si="1"/>
        <v>-4.9484848484848243E-2</v>
      </c>
    </row>
    <row r="30" spans="1:12" x14ac:dyDescent="0.3">
      <c r="A30" t="s">
        <v>175</v>
      </c>
    </row>
    <row r="31" spans="1:12" ht="43.2" x14ac:dyDescent="0.3">
      <c r="B31" s="106" t="s">
        <v>35</v>
      </c>
      <c r="C31" s="106" t="s">
        <v>38</v>
      </c>
      <c r="D31" s="106" t="s">
        <v>44</v>
      </c>
      <c r="E31" s="106" t="s">
        <v>45</v>
      </c>
      <c r="F31" s="106" t="s">
        <v>46</v>
      </c>
      <c r="G31" s="106" t="s">
        <v>47</v>
      </c>
      <c r="H31" s="106" t="s">
        <v>48</v>
      </c>
    </row>
    <row r="32" spans="1:12" x14ac:dyDescent="0.3">
      <c r="B32" s="108">
        <v>2007</v>
      </c>
      <c r="C32" s="160">
        <v>137.79932326913067</v>
      </c>
      <c r="D32" s="160">
        <v>63.317236945702405</v>
      </c>
      <c r="E32" s="160">
        <v>41.907061738354393</v>
      </c>
      <c r="F32" s="160">
        <v>17.627236578174845</v>
      </c>
      <c r="G32" s="160">
        <v>72.547784078974999</v>
      </c>
      <c r="H32" s="161">
        <v>0.16503754072814844</v>
      </c>
    </row>
    <row r="33" spans="1:8" x14ac:dyDescent="0.3">
      <c r="B33" s="109">
        <v>2008</v>
      </c>
      <c r="C33" s="112">
        <v>148.10461737164999</v>
      </c>
      <c r="D33" s="112">
        <v>66.049480657485446</v>
      </c>
      <c r="E33" s="112">
        <v>45.535896282491365</v>
      </c>
      <c r="F33" s="112">
        <v>19.29660004201763</v>
      </c>
      <c r="G33" s="112">
        <v>80.739022504374717</v>
      </c>
      <c r="H33" s="110">
        <v>0.17000959274439709</v>
      </c>
    </row>
    <row r="34" spans="1:8" x14ac:dyDescent="0.3">
      <c r="B34" s="109">
        <v>2009</v>
      </c>
      <c r="C34" s="112">
        <v>143.74439174464811</v>
      </c>
      <c r="D34" s="112">
        <v>62.931261934412625</v>
      </c>
      <c r="E34" s="112">
        <v>44.602586596559199</v>
      </c>
      <c r="F34" s="112">
        <v>19.030575157972418</v>
      </c>
      <c r="G34" s="112">
        <v>81.886345698500406</v>
      </c>
      <c r="H34" s="110">
        <v>0.17001828153564891</v>
      </c>
    </row>
    <row r="35" spans="1:8" x14ac:dyDescent="0.3">
      <c r="B35" s="109">
        <v>2010</v>
      </c>
      <c r="C35" s="112">
        <v>150.33494710189643</v>
      </c>
      <c r="D35" s="112">
        <v>63.818128265979631</v>
      </c>
      <c r="E35" s="112">
        <v>46.7764243232225</v>
      </c>
      <c r="F35" s="112">
        <v>19.491850286443192</v>
      </c>
      <c r="G35" s="112">
        <v>80.013788876972569</v>
      </c>
      <c r="H35" s="110">
        <v>0.19000465490245863</v>
      </c>
    </row>
    <row r="36" spans="1:8" x14ac:dyDescent="0.3">
      <c r="B36" s="109">
        <v>2011</v>
      </c>
      <c r="C36" s="112">
        <v>132.47830864244307</v>
      </c>
      <c r="D36" s="112">
        <v>56.397844999986368</v>
      </c>
      <c r="E36" s="112">
        <v>40.476625877744063</v>
      </c>
      <c r="F36" s="112">
        <v>18.434471290305233</v>
      </c>
      <c r="G36" s="112">
        <v>91.572093023255817</v>
      </c>
      <c r="H36" s="110">
        <v>0.16001716001716002</v>
      </c>
    </row>
    <row r="37" spans="1:8" x14ac:dyDescent="0.3">
      <c r="B37" s="109">
        <v>2012</v>
      </c>
      <c r="C37" s="112">
        <v>134.08388548646937</v>
      </c>
      <c r="D37" s="112">
        <v>54.211781880548401</v>
      </c>
      <c r="E37" s="112">
        <v>39.56093781874732</v>
      </c>
      <c r="F37" s="112">
        <v>23.451615845057692</v>
      </c>
      <c r="G37" s="112">
        <v>98.433599826357494</v>
      </c>
      <c r="H37" s="110">
        <v>0.15002337540906963</v>
      </c>
    </row>
    <row r="38" spans="1:8" x14ac:dyDescent="0.3">
      <c r="B38" s="109">
        <v>2013</v>
      </c>
      <c r="C38" s="112">
        <v>142.0997280596402</v>
      </c>
      <c r="D38" s="112">
        <v>54.73169730424263</v>
      </c>
      <c r="E38" s="112">
        <v>41.755208919487231</v>
      </c>
      <c r="F38" s="112">
        <v>29.354417483580097</v>
      </c>
      <c r="G38" s="112">
        <v>101.26359508641019</v>
      </c>
      <c r="H38" s="110">
        <v>0.14499671556820681</v>
      </c>
    </row>
    <row r="39" spans="1:8" x14ac:dyDescent="0.3">
      <c r="B39" s="109">
        <v>2014</v>
      </c>
      <c r="C39" s="112">
        <v>142.52529870386616</v>
      </c>
      <c r="D39" s="112">
        <v>54.941815583864269</v>
      </c>
      <c r="E39" s="112">
        <v>42.932276519725335</v>
      </c>
      <c r="F39" s="112">
        <v>29.078124850302864</v>
      </c>
      <c r="G39" s="112">
        <v>102.68010144629515</v>
      </c>
      <c r="H39" s="110">
        <v>0.13996532293021247</v>
      </c>
    </row>
    <row r="40" spans="1:8" x14ac:dyDescent="0.3">
      <c r="B40" s="109">
        <v>2015</v>
      </c>
      <c r="C40" s="112">
        <v>142.67488576072623</v>
      </c>
      <c r="D40" s="112">
        <v>55.290654415666864</v>
      </c>
      <c r="E40" s="112">
        <v>44.153020476518257</v>
      </c>
      <c r="F40" s="112">
        <v>27.801866876649001</v>
      </c>
      <c r="G40" s="112">
        <v>103.38609497094771</v>
      </c>
      <c r="H40" s="110">
        <v>0.13885903443532094</v>
      </c>
    </row>
    <row r="41" spans="1:8" x14ac:dyDescent="0.3">
      <c r="B41" s="111">
        <v>2016</v>
      </c>
      <c r="C41" s="162">
        <v>146.06521925055287</v>
      </c>
      <c r="D41" s="162">
        <v>49.989933219036985</v>
      </c>
      <c r="E41" s="162">
        <v>44.370032436643669</v>
      </c>
      <c r="F41" s="162">
        <v>28.793942888561673</v>
      </c>
      <c r="G41" s="162">
        <v>120.1205178293547</v>
      </c>
      <c r="H41" s="163">
        <v>0.16068590547887907</v>
      </c>
    </row>
    <row r="42" spans="1:8" x14ac:dyDescent="0.3">
      <c r="A42" t="s">
        <v>176</v>
      </c>
    </row>
    <row r="43" spans="1:8" x14ac:dyDescent="0.3">
      <c r="B43" s="108">
        <v>2007</v>
      </c>
      <c r="C43" s="160">
        <v>141.79498607356555</v>
      </c>
      <c r="D43" s="160">
        <v>65.385713656786464</v>
      </c>
      <c r="E43" s="160">
        <v>43.530032890174247</v>
      </c>
      <c r="F43" s="160">
        <v>16.557529605077836</v>
      </c>
      <c r="G43" s="160">
        <v>72.502553919876632</v>
      </c>
      <c r="H43" s="161">
        <v>0.17402996803981344</v>
      </c>
    </row>
    <row r="44" spans="1:8" x14ac:dyDescent="0.3">
      <c r="B44" s="109">
        <v>2008</v>
      </c>
      <c r="C44" s="112">
        <v>141.83855817701817</v>
      </c>
      <c r="D44" s="112">
        <v>63.781773626543384</v>
      </c>
      <c r="E44" s="112">
        <v>43.458249381013161</v>
      </c>
      <c r="F44" s="112">
        <v>18.04164972170642</v>
      </c>
      <c r="G44" s="112">
        <v>77.116274011936127</v>
      </c>
      <c r="H44" s="110">
        <v>0.17068147700317718</v>
      </c>
    </row>
    <row r="45" spans="1:8" x14ac:dyDescent="0.3">
      <c r="B45" s="109">
        <v>2009</v>
      </c>
      <c r="C45" s="112">
        <v>141.88213028047079</v>
      </c>
      <c r="D45" s="112">
        <v>62.177833596300289</v>
      </c>
      <c r="E45" s="112">
        <v>43.386465871852067</v>
      </c>
      <c r="F45" s="112">
        <v>19.525769838335005</v>
      </c>
      <c r="G45" s="112">
        <v>81.729994103995622</v>
      </c>
      <c r="H45" s="110">
        <v>0.16733298596654089</v>
      </c>
    </row>
    <row r="46" spans="1:8" x14ac:dyDescent="0.3">
      <c r="B46" s="109">
        <v>2010</v>
      </c>
      <c r="C46" s="112">
        <v>141.92570238392338</v>
      </c>
      <c r="D46" s="112">
        <v>60.573893566057201</v>
      </c>
      <c r="E46" s="112">
        <v>43.314682362690974</v>
      </c>
      <c r="F46" s="112">
        <v>21.00988995496359</v>
      </c>
      <c r="G46" s="112">
        <v>86.343714196055117</v>
      </c>
      <c r="H46" s="110">
        <v>0.16398449492990463</v>
      </c>
    </row>
    <row r="47" spans="1:8" x14ac:dyDescent="0.3">
      <c r="B47" s="109">
        <v>2011</v>
      </c>
      <c r="C47" s="112">
        <v>141.969274487376</v>
      </c>
      <c r="D47" s="112">
        <v>58.969953535814113</v>
      </c>
      <c r="E47" s="112">
        <v>43.24289885352988</v>
      </c>
      <c r="F47" s="112">
        <v>22.494010071592175</v>
      </c>
      <c r="G47" s="112">
        <v>90.957434288114612</v>
      </c>
      <c r="H47" s="110">
        <v>0.16063600389326835</v>
      </c>
    </row>
    <row r="48" spans="1:8" x14ac:dyDescent="0.3">
      <c r="B48" s="109">
        <v>2012</v>
      </c>
      <c r="C48" s="112">
        <v>142.01284659082862</v>
      </c>
      <c r="D48" s="112">
        <v>57.366013505571026</v>
      </c>
      <c r="E48" s="112">
        <v>43.171115344368793</v>
      </c>
      <c r="F48" s="112">
        <v>23.97813018822076</v>
      </c>
      <c r="G48" s="112">
        <v>95.571154380174107</v>
      </c>
      <c r="H48" s="110">
        <v>0.15728751285663206</v>
      </c>
    </row>
    <row r="49" spans="2:8" x14ac:dyDescent="0.3">
      <c r="B49" s="109">
        <v>2013</v>
      </c>
      <c r="C49" s="112">
        <v>142.05641869428123</v>
      </c>
      <c r="D49" s="112">
        <v>55.762073475327938</v>
      </c>
      <c r="E49" s="112">
        <v>43.0993318352077</v>
      </c>
      <c r="F49" s="112">
        <v>25.462250304849341</v>
      </c>
      <c r="G49" s="112">
        <v>100.1848744722336</v>
      </c>
      <c r="H49" s="110">
        <v>0.1539390218199958</v>
      </c>
    </row>
    <row r="50" spans="2:8" x14ac:dyDescent="0.3">
      <c r="B50" s="109">
        <v>2014</v>
      </c>
      <c r="C50" s="112">
        <v>142.09999079773385</v>
      </c>
      <c r="D50" s="112">
        <v>54.158133445084843</v>
      </c>
      <c r="E50" s="112">
        <v>43.027548326046606</v>
      </c>
      <c r="F50" s="112">
        <v>26.94637042147793</v>
      </c>
      <c r="G50" s="112">
        <v>104.7985945642931</v>
      </c>
      <c r="H50" s="110">
        <v>0.15059053078335952</v>
      </c>
    </row>
    <row r="51" spans="2:8" x14ac:dyDescent="0.3">
      <c r="B51" s="109">
        <v>2015</v>
      </c>
      <c r="C51" s="112">
        <v>142.14356290118647</v>
      </c>
      <c r="D51" s="112">
        <v>52.554193414841755</v>
      </c>
      <c r="E51" s="112">
        <v>42.955764816885512</v>
      </c>
      <c r="F51" s="112">
        <v>28.430490538106511</v>
      </c>
      <c r="G51" s="112">
        <v>109.41231465635259</v>
      </c>
      <c r="H51" s="110">
        <v>0.14724203974672323</v>
      </c>
    </row>
    <row r="52" spans="2:8" x14ac:dyDescent="0.3">
      <c r="B52" s="111">
        <v>2016</v>
      </c>
      <c r="C52" s="162">
        <v>142.18713500463906</v>
      </c>
      <c r="D52" s="162">
        <v>50.950253384598668</v>
      </c>
      <c r="E52" s="162">
        <v>42.883981307724426</v>
      </c>
      <c r="F52" s="162">
        <v>29.9146106547351</v>
      </c>
      <c r="G52" s="162">
        <v>114.02603474841209</v>
      </c>
      <c r="H52" s="163">
        <v>0.14389354871008697</v>
      </c>
    </row>
    <row r="54" spans="2:8" x14ac:dyDescent="0.3">
      <c r="B54" s="164" t="s">
        <v>155</v>
      </c>
      <c r="C54" s="24">
        <f>(C52/C43)^(1/9)-1</f>
        <v>3.0691240036007095E-4</v>
      </c>
      <c r="D54" s="24">
        <f t="shared" ref="D54:H54" si="2">(D52/D43)^(1/9)-1</f>
        <v>-2.733652248816032E-2</v>
      </c>
      <c r="E54" s="24">
        <f t="shared" si="2"/>
        <v>-1.6600373916976219E-3</v>
      </c>
      <c r="F54" s="24">
        <f t="shared" si="2"/>
        <v>6.7930746892115534E-2</v>
      </c>
      <c r="G54" s="24">
        <f t="shared" si="2"/>
        <v>5.1598794717929275E-2</v>
      </c>
      <c r="H54" s="24">
        <f t="shared" si="2"/>
        <v>-2.0906556006488275E-2</v>
      </c>
    </row>
    <row r="55" spans="2:8" x14ac:dyDescent="0.3">
      <c r="B55" s="164" t="s">
        <v>154</v>
      </c>
      <c r="C55" s="165">
        <f>C52-C51</f>
        <v>4.3572103452589772E-2</v>
      </c>
      <c r="D55" s="165">
        <f t="shared" ref="D55:H55" si="3">D52-D51</f>
        <v>-1.6039400302430877</v>
      </c>
      <c r="E55" s="165">
        <f t="shared" si="3"/>
        <v>-7.1783509161086556E-2</v>
      </c>
      <c r="F55" s="165">
        <f t="shared" si="3"/>
        <v>1.4841201166285884</v>
      </c>
      <c r="G55" s="165">
        <f t="shared" si="3"/>
        <v>4.613720092059495</v>
      </c>
      <c r="H55" s="165">
        <f t="shared" si="3"/>
        <v>-3.3484910366362586E-3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0"/>
  <sheetViews>
    <sheetView tabSelected="1" topLeftCell="B1" workbookViewId="0">
      <selection activeCell="F6" sqref="F6"/>
    </sheetView>
  </sheetViews>
  <sheetFormatPr defaultColWidth="9.109375" defaultRowHeight="11.4" x14ac:dyDescent="0.2"/>
  <cols>
    <col min="1" max="1" width="4.33203125" style="51" customWidth="1"/>
    <col min="2" max="2" width="4.88671875" style="51" customWidth="1"/>
    <col min="3" max="3" width="45.88671875" style="51" customWidth="1"/>
    <col min="4" max="4" width="9.109375" style="51"/>
    <col min="5" max="5" width="11.44140625" style="51" bestFit="1" customWidth="1"/>
    <col min="6" max="6" width="9.6640625" style="51" customWidth="1"/>
    <col min="7" max="7" width="9.109375" style="51"/>
    <col min="8" max="8" width="22" style="51" customWidth="1"/>
    <col min="9" max="9" width="11.109375" style="51" customWidth="1"/>
    <col min="10" max="10" width="9.44140625" style="51" bestFit="1" customWidth="1"/>
    <col min="11" max="12" width="10.109375" style="51" bestFit="1" customWidth="1"/>
    <col min="13" max="13" width="12.109375" style="51" bestFit="1" customWidth="1"/>
    <col min="14" max="15" width="13" style="51" customWidth="1"/>
    <col min="16" max="16384" width="9.109375" style="51"/>
  </cols>
  <sheetData>
    <row r="2" spans="2:15" ht="12" x14ac:dyDescent="0.2">
      <c r="B2" s="50" t="s">
        <v>173</v>
      </c>
      <c r="H2" s="50" t="s">
        <v>101</v>
      </c>
    </row>
    <row r="3" spans="2:15" ht="12" thickBot="1" x14ac:dyDescent="0.25"/>
    <row r="4" spans="2:15" ht="24.75" customHeight="1" thickBot="1" x14ac:dyDescent="0.3">
      <c r="B4" s="60" t="s">
        <v>50</v>
      </c>
      <c r="C4" s="59" t="s">
        <v>51</v>
      </c>
      <c r="D4" s="59">
        <v>2040</v>
      </c>
      <c r="E4" s="59">
        <v>2065</v>
      </c>
      <c r="H4" s="60" t="s">
        <v>75</v>
      </c>
      <c r="I4" s="154" t="s">
        <v>89</v>
      </c>
      <c r="J4" s="59" t="s">
        <v>83</v>
      </c>
      <c r="K4" s="59" t="s">
        <v>77</v>
      </c>
      <c r="L4" s="59" t="s">
        <v>84</v>
      </c>
      <c r="M4" s="59" t="s">
        <v>85</v>
      </c>
      <c r="N4" s="59" t="s">
        <v>86</v>
      </c>
      <c r="O4" s="59" t="s">
        <v>87</v>
      </c>
    </row>
    <row r="5" spans="2:15" ht="23.4" thickBot="1" x14ac:dyDescent="0.25">
      <c r="B5" s="141">
        <v>1</v>
      </c>
      <c r="C5" s="26" t="s">
        <v>52</v>
      </c>
      <c r="D5" s="40">
        <v>5.0000000000000001E-3</v>
      </c>
      <c r="E5" s="147"/>
      <c r="H5" s="32" t="s">
        <v>79</v>
      </c>
      <c r="I5" s="155">
        <v>163035</v>
      </c>
      <c r="J5" s="18">
        <v>184685.32658421359</v>
      </c>
      <c r="K5" s="18">
        <v>199047.03706484308</v>
      </c>
      <c r="L5" s="19">
        <v>135</v>
      </c>
      <c r="M5" s="19">
        <v>135</v>
      </c>
      <c r="N5" s="71">
        <v>24.932519088868833</v>
      </c>
      <c r="O5" s="71">
        <v>26.871350003753815</v>
      </c>
    </row>
    <row r="6" spans="2:15" ht="12" thickBot="1" x14ac:dyDescent="0.25">
      <c r="B6" s="141">
        <v>2</v>
      </c>
      <c r="C6" s="26" t="s">
        <v>54</v>
      </c>
      <c r="D6" s="147"/>
      <c r="E6" s="40">
        <v>3.0000000000000001E-3</v>
      </c>
      <c r="H6" s="32"/>
      <c r="I6" s="156"/>
      <c r="J6" s="19"/>
      <c r="K6" s="19"/>
      <c r="L6" s="19"/>
      <c r="M6" s="19"/>
      <c r="N6" s="71"/>
      <c r="O6" s="71"/>
    </row>
    <row r="7" spans="2:15" ht="23.4" thickBot="1" x14ac:dyDescent="0.25">
      <c r="B7" s="141">
        <v>3</v>
      </c>
      <c r="C7" s="26" t="s">
        <v>55</v>
      </c>
      <c r="D7" s="139">
        <v>135</v>
      </c>
      <c r="E7" s="139">
        <v>135</v>
      </c>
      <c r="H7" s="32" t="s">
        <v>21</v>
      </c>
      <c r="I7" s="157">
        <v>133089</v>
      </c>
      <c r="J7" s="18">
        <v>145551.52356138674</v>
      </c>
      <c r="K7" s="18">
        <v>153320.96173279764</v>
      </c>
      <c r="L7" s="152">
        <v>48.124308180853966</v>
      </c>
      <c r="M7" s="152">
        <v>48.015020136959556</v>
      </c>
      <c r="N7" s="71">
        <v>7.0045663760610024</v>
      </c>
      <c r="O7" s="71">
        <v>7.3617090650182844</v>
      </c>
    </row>
    <row r="8" spans="2:15" ht="23.4" customHeight="1" thickBot="1" x14ac:dyDescent="0.25">
      <c r="B8" s="141">
        <v>4</v>
      </c>
      <c r="C8" s="144" t="s">
        <v>172</v>
      </c>
      <c r="D8" s="150">
        <v>3</v>
      </c>
      <c r="E8" s="150">
        <v>3</v>
      </c>
      <c r="H8" s="32" t="s">
        <v>22</v>
      </c>
      <c r="I8" s="157">
        <v>133089</v>
      </c>
      <c r="J8" s="18">
        <v>145551.52356138674</v>
      </c>
      <c r="K8" s="18">
        <v>153320.96173279764</v>
      </c>
      <c r="L8" s="152">
        <v>42.3</v>
      </c>
      <c r="M8" s="152">
        <v>42.3</v>
      </c>
      <c r="N8" s="71">
        <v>6.1568294466466584</v>
      </c>
      <c r="O8" s="71">
        <v>6.4854766812973397</v>
      </c>
    </row>
    <row r="9" spans="2:15" ht="12" thickBot="1" x14ac:dyDescent="0.25">
      <c r="B9" s="141" t="s">
        <v>56</v>
      </c>
      <c r="C9" s="26" t="s">
        <v>57</v>
      </c>
      <c r="D9" s="40">
        <v>3.5869000000000001E-3</v>
      </c>
      <c r="E9" s="40">
        <v>2.0823E-3</v>
      </c>
      <c r="H9" s="32" t="s">
        <v>23</v>
      </c>
      <c r="I9" s="157">
        <v>133089</v>
      </c>
      <c r="J9" s="18">
        <v>145551.52356138674</v>
      </c>
      <c r="K9" s="18">
        <v>153320.96173279764</v>
      </c>
      <c r="L9" s="152">
        <v>27.3</v>
      </c>
      <c r="M9" s="152">
        <v>27.3</v>
      </c>
      <c r="N9" s="71">
        <v>3.9735565932258581</v>
      </c>
      <c r="O9" s="71">
        <v>4.1856622553053757</v>
      </c>
    </row>
    <row r="10" spans="2:15" ht="12" thickBot="1" x14ac:dyDescent="0.25">
      <c r="B10" s="141" t="s">
        <v>58</v>
      </c>
      <c r="C10" s="26" t="s">
        <v>59</v>
      </c>
      <c r="D10" s="151">
        <f>D9*D8</f>
        <v>1.07607E-2</v>
      </c>
      <c r="E10" s="151">
        <f>E9*E8</f>
        <v>6.2468999999999997E-3</v>
      </c>
      <c r="H10" s="32" t="s">
        <v>80</v>
      </c>
      <c r="I10" s="158">
        <v>29946</v>
      </c>
      <c r="J10" s="18">
        <v>39133.39332542794</v>
      </c>
      <c r="K10" s="18">
        <v>45725.808538512458</v>
      </c>
      <c r="L10" s="152">
        <v>89.996245613801719</v>
      </c>
      <c r="M10" s="152">
        <v>89.791868366361385</v>
      </c>
      <c r="N10" s="71">
        <v>3.5218584774167216</v>
      </c>
      <c r="O10" s="71">
        <v>4.1058057812355546</v>
      </c>
    </row>
    <row r="11" spans="2:15" ht="23.4" thickBot="1" x14ac:dyDescent="0.25">
      <c r="B11" s="141">
        <v>5</v>
      </c>
      <c r="C11" s="26" t="s">
        <v>60</v>
      </c>
      <c r="D11" s="48">
        <v>-2E-3</v>
      </c>
      <c r="E11" s="48">
        <v>-1E-3</v>
      </c>
      <c r="H11" s="32" t="s">
        <v>81</v>
      </c>
      <c r="I11" s="159">
        <v>0.15896175837495022</v>
      </c>
      <c r="J11" s="19" t="s">
        <v>53</v>
      </c>
      <c r="K11" s="19" t="s">
        <v>53</v>
      </c>
      <c r="L11" s="42">
        <v>0.14023928109311726</v>
      </c>
      <c r="M11" s="42">
        <v>0.12372193263693518</v>
      </c>
      <c r="N11" s="71">
        <v>3.3694215677160528</v>
      </c>
      <c r="O11" s="71">
        <v>3.1257623966755688</v>
      </c>
    </row>
    <row r="12" spans="2:15" ht="12" thickBot="1" x14ac:dyDescent="0.25">
      <c r="B12" s="141">
        <v>6</v>
      </c>
      <c r="C12" s="26" t="s">
        <v>61</v>
      </c>
      <c r="D12" s="28">
        <v>0.2</v>
      </c>
      <c r="E12" s="28">
        <v>0.2</v>
      </c>
      <c r="H12" s="32" t="s">
        <v>82</v>
      </c>
      <c r="I12" s="156"/>
      <c r="J12" s="18">
        <v>184684.9168868147</v>
      </c>
      <c r="K12" s="18">
        <v>199046.77027131012</v>
      </c>
      <c r="L12" s="152">
        <v>130.09309512693406</v>
      </c>
      <c r="M12" s="152">
        <v>126.92703400861782</v>
      </c>
      <c r="N12" s="71">
        <v>24.026232461066293</v>
      </c>
      <c r="O12" s="71">
        <v>25.26441617953212</v>
      </c>
    </row>
    <row r="13" spans="2:15" ht="12" thickBot="1" x14ac:dyDescent="0.25">
      <c r="B13" s="141" t="s">
        <v>62</v>
      </c>
      <c r="C13" s="26" t="s">
        <v>63</v>
      </c>
      <c r="D13" s="27">
        <v>-0.1628</v>
      </c>
      <c r="E13" s="27">
        <v>-0.1628</v>
      </c>
    </row>
    <row r="14" spans="2:15" ht="15" customHeight="1" thickBot="1" x14ac:dyDescent="0.3">
      <c r="B14" s="141">
        <v>7</v>
      </c>
      <c r="C14" s="144" t="s">
        <v>64</v>
      </c>
      <c r="D14" s="148"/>
      <c r="E14" s="149"/>
      <c r="H14" s="33" t="s">
        <v>88</v>
      </c>
      <c r="I14" s="153" t="s">
        <v>174</v>
      </c>
    </row>
    <row r="15" spans="2:15" ht="23.4" thickBot="1" x14ac:dyDescent="0.25">
      <c r="B15" s="141" t="s">
        <v>65</v>
      </c>
      <c r="C15" s="26" t="s">
        <v>99</v>
      </c>
      <c r="D15" s="27">
        <v>2.7</v>
      </c>
      <c r="E15" s="27">
        <v>5.2</v>
      </c>
      <c r="H15" s="22" t="s">
        <v>75</v>
      </c>
      <c r="I15" s="52" t="s">
        <v>89</v>
      </c>
      <c r="J15" s="22" t="s">
        <v>83</v>
      </c>
      <c r="K15" s="22" t="s">
        <v>77</v>
      </c>
      <c r="L15" s="22" t="s">
        <v>84</v>
      </c>
      <c r="M15" s="22" t="s">
        <v>85</v>
      </c>
      <c r="N15" s="22" t="s">
        <v>86</v>
      </c>
      <c r="O15" s="22" t="s">
        <v>87</v>
      </c>
    </row>
    <row r="16" spans="2:15" ht="12" thickBot="1" x14ac:dyDescent="0.25">
      <c r="B16" s="141" t="s">
        <v>66</v>
      </c>
      <c r="C16" s="26" t="s">
        <v>67</v>
      </c>
      <c r="D16" s="27">
        <v>0.64239999999999997</v>
      </c>
      <c r="E16" s="27">
        <v>0.64239999999999997</v>
      </c>
      <c r="H16" s="189" t="s">
        <v>79</v>
      </c>
      <c r="I16" s="37">
        <f>'Table B1.1&amp;B1.2 Data'!C15</f>
        <v>163035</v>
      </c>
      <c r="J16" s="35">
        <f>I16*(1+D5)^25</f>
        <v>184685.32658421359</v>
      </c>
      <c r="K16" s="35">
        <f>J16*(1+E6)^25</f>
        <v>199047.03706484308</v>
      </c>
      <c r="L16" s="49">
        <f>D7</f>
        <v>135</v>
      </c>
      <c r="M16" s="143">
        <f>E7</f>
        <v>135</v>
      </c>
      <c r="N16" s="39">
        <f>J16*L16/1000000</f>
        <v>24.932519088868833</v>
      </c>
      <c r="O16" s="39">
        <f>K16*M16/1000000</f>
        <v>26.871350003753815</v>
      </c>
    </row>
    <row r="17" spans="2:15" ht="12" thickBot="1" x14ac:dyDescent="0.25">
      <c r="B17" s="141" t="s">
        <v>68</v>
      </c>
      <c r="C17" s="26" t="s">
        <v>69</v>
      </c>
      <c r="D17" s="29">
        <v>2.5999999999999999E-2</v>
      </c>
      <c r="E17" s="29">
        <v>5.0999999999999997E-2</v>
      </c>
      <c r="H17" s="34"/>
      <c r="I17" s="53"/>
      <c r="J17" s="36"/>
      <c r="K17" s="36"/>
      <c r="L17" s="36"/>
      <c r="M17" s="36"/>
      <c r="N17" s="36"/>
      <c r="O17" s="36"/>
    </row>
    <row r="18" spans="2:15" ht="12" thickBot="1" x14ac:dyDescent="0.25">
      <c r="B18" s="141" t="s">
        <v>70</v>
      </c>
      <c r="C18" s="26" t="s">
        <v>71</v>
      </c>
      <c r="D18" s="27">
        <v>-5.1999999999999998E-2</v>
      </c>
      <c r="E18" s="27">
        <v>-5.1999999999999998E-2</v>
      </c>
      <c r="H18" s="34" t="s">
        <v>21</v>
      </c>
      <c r="I18" s="54">
        <f>'Table B1.1&amp;B1.2 Data'!$C$17</f>
        <v>133089</v>
      </c>
      <c r="J18" s="188">
        <f>I18*(1+$D$9)^25</f>
        <v>145551.52356138674</v>
      </c>
      <c r="K18" s="188">
        <f>J18*(1+$E$9)^25</f>
        <v>153320.96173279764</v>
      </c>
      <c r="L18" s="49">
        <f>E35</f>
        <v>48.124308180853966</v>
      </c>
      <c r="M18" s="49">
        <f>F35</f>
        <v>48.015020136959556</v>
      </c>
      <c r="N18" s="39">
        <f t="shared" ref="N18:N21" si="0">J18*L18/1000000</f>
        <v>7.0045663760610024</v>
      </c>
      <c r="O18" s="39">
        <f t="shared" ref="O18:O21" si="1">K18*M18/1000000</f>
        <v>7.3617090650182844</v>
      </c>
    </row>
    <row r="19" spans="2:15" x14ac:dyDescent="0.2">
      <c r="B19" s="175">
        <v>8</v>
      </c>
      <c r="C19" s="177" t="s">
        <v>72</v>
      </c>
      <c r="D19" s="140">
        <v>42.3</v>
      </c>
      <c r="E19" s="30">
        <f>D19</f>
        <v>42.3</v>
      </c>
      <c r="H19" s="34" t="s">
        <v>22</v>
      </c>
      <c r="I19" s="54">
        <f>'Table B1.1&amp;B1.2 Data'!$C$17</f>
        <v>133089</v>
      </c>
      <c r="J19" s="35">
        <f t="shared" ref="J19:J20" si="2">I19*(1+$D$9)^25</f>
        <v>145551.52356138674</v>
      </c>
      <c r="K19" s="35">
        <f t="shared" ref="K19:K20" si="3">J19*(1+$E$9)^25</f>
        <v>153320.96173279764</v>
      </c>
      <c r="L19" s="36">
        <v>42.3</v>
      </c>
      <c r="M19" s="36">
        <v>42.3</v>
      </c>
      <c r="N19" s="39">
        <f t="shared" si="0"/>
        <v>6.1568294466466584</v>
      </c>
      <c r="O19" s="39">
        <f t="shared" si="1"/>
        <v>6.4854766812973397</v>
      </c>
    </row>
    <row r="20" spans="2:15" ht="12" thickBot="1" x14ac:dyDescent="0.25">
      <c r="B20" s="176"/>
      <c r="C20" s="178"/>
      <c r="D20" s="139">
        <v>27.3</v>
      </c>
      <c r="E20" s="27">
        <f>D20</f>
        <v>27.3</v>
      </c>
      <c r="H20" s="34" t="s">
        <v>23</v>
      </c>
      <c r="I20" s="54">
        <f>'Table B1.1&amp;B1.2 Data'!$C$17</f>
        <v>133089</v>
      </c>
      <c r="J20" s="35">
        <f t="shared" si="2"/>
        <v>145551.52356138674</v>
      </c>
      <c r="K20" s="35">
        <f t="shared" si="3"/>
        <v>153320.96173279764</v>
      </c>
      <c r="L20" s="36">
        <v>27.3</v>
      </c>
      <c r="M20" s="36">
        <v>27.3</v>
      </c>
      <c r="N20" s="39">
        <f t="shared" si="0"/>
        <v>3.9735565932258581</v>
      </c>
      <c r="O20" s="39">
        <f t="shared" si="1"/>
        <v>4.1856622553053757</v>
      </c>
    </row>
    <row r="21" spans="2:15" ht="23.4" thickBot="1" x14ac:dyDescent="0.25">
      <c r="B21" s="141">
        <v>9</v>
      </c>
      <c r="C21" s="26" t="s">
        <v>73</v>
      </c>
      <c r="D21" s="139">
        <f>95*E33</f>
        <v>89.996245613801719</v>
      </c>
      <c r="E21" s="139">
        <f>95*F33</f>
        <v>89.791868366361385</v>
      </c>
      <c r="H21" s="34" t="s">
        <v>80</v>
      </c>
      <c r="I21" s="55">
        <f>'Table B1.1&amp;B1.2 Data'!C13</f>
        <v>29946</v>
      </c>
      <c r="J21" s="188">
        <f>I21*(1+D10)^25</f>
        <v>39133.39332542794</v>
      </c>
      <c r="K21" s="188">
        <f>J21*(1+E10)^25</f>
        <v>45725.808538512458</v>
      </c>
      <c r="L21" s="143">
        <f>D21</f>
        <v>89.996245613801719</v>
      </c>
      <c r="M21" s="143">
        <f>E21</f>
        <v>89.791868366361385</v>
      </c>
      <c r="N21" s="39">
        <f t="shared" si="0"/>
        <v>3.5218584774167216</v>
      </c>
      <c r="O21" s="39">
        <f t="shared" si="1"/>
        <v>4.1058057812355546</v>
      </c>
    </row>
    <row r="22" spans="2:15" ht="12" thickBot="1" x14ac:dyDescent="0.25">
      <c r="B22" s="141">
        <v>10</v>
      </c>
      <c r="C22" s="26" t="s">
        <v>74</v>
      </c>
      <c r="D22" s="27">
        <v>5.0000000000000001E-3</v>
      </c>
      <c r="E22" s="27">
        <v>5.0000000000000001E-3</v>
      </c>
      <c r="H22" s="34" t="s">
        <v>81</v>
      </c>
      <c r="I22" s="56">
        <f>AVERAGE('Table B2.1&amp;B2.2 Trends'!U5:U14)</f>
        <v>0.15896175837495022</v>
      </c>
      <c r="J22" s="36" t="s">
        <v>53</v>
      </c>
      <c r="K22" s="146" t="s">
        <v>53</v>
      </c>
      <c r="L22" s="43">
        <f>$I22*(1-D22)^25</f>
        <v>0.14023928109311726</v>
      </c>
      <c r="M22" s="43">
        <f>$I22*(1-E22)^50</f>
        <v>0.12372193263693518</v>
      </c>
      <c r="N22" s="57">
        <f>SUM(N18:N21)/(1-L22)-SUM(N18:N21)</f>
        <v>3.3694215677160528</v>
      </c>
      <c r="O22" s="57">
        <f>SUM(O18:O21)/(1-M22)-SUM(O18:O21)</f>
        <v>3.1257623966755688</v>
      </c>
    </row>
    <row r="23" spans="2:15" x14ac:dyDescent="0.2">
      <c r="H23" s="34" t="s">
        <v>82</v>
      </c>
      <c r="I23" s="53"/>
      <c r="J23" s="35">
        <f>J18+J21</f>
        <v>184684.9168868147</v>
      </c>
      <c r="K23" s="145">
        <f>K18+K21</f>
        <v>199046.77027131012</v>
      </c>
      <c r="L23" s="41">
        <f>N23*1000000/J23</f>
        <v>130.09309512693406</v>
      </c>
      <c r="M23" s="41">
        <f>O23*1000000/K23</f>
        <v>126.92703400861782</v>
      </c>
      <c r="N23" s="142">
        <f>SUM(N18:N22)</f>
        <v>24.026232461066293</v>
      </c>
      <c r="O23" s="142">
        <f>SUM(O18:O22)</f>
        <v>25.26441617953212</v>
      </c>
    </row>
    <row r="24" spans="2:15" ht="12" x14ac:dyDescent="0.2">
      <c r="C24" s="50" t="s">
        <v>100</v>
      </c>
    </row>
    <row r="25" spans="2:15" ht="12" thickBot="1" x14ac:dyDescent="0.25"/>
    <row r="26" spans="2:15" ht="12.6" thickBot="1" x14ac:dyDescent="0.25">
      <c r="C26" s="58" t="s">
        <v>90</v>
      </c>
      <c r="D26" s="59">
        <v>2015</v>
      </c>
      <c r="E26" s="59">
        <v>2040</v>
      </c>
      <c r="F26" s="59">
        <v>2065</v>
      </c>
      <c r="G26" s="44"/>
    </row>
    <row r="27" spans="2:15" ht="12" thickBot="1" x14ac:dyDescent="0.25">
      <c r="C27" s="25" t="s">
        <v>91</v>
      </c>
      <c r="D27" s="31"/>
      <c r="E27" s="31"/>
      <c r="F27" s="31"/>
      <c r="G27" s="44"/>
      <c r="I27" s="51">
        <f>163035*(1.005)^25</f>
        <v>184685.32658421359</v>
      </c>
      <c r="K27" s="51">
        <f>I27*135</f>
        <v>24932519.088868834</v>
      </c>
      <c r="L27" s="51">
        <f>K27/1000000</f>
        <v>24.932519088868833</v>
      </c>
    </row>
    <row r="28" spans="2:15" ht="12" thickBot="1" x14ac:dyDescent="0.25">
      <c r="C28" s="25" t="s">
        <v>92</v>
      </c>
      <c r="D28" s="31" t="s">
        <v>53</v>
      </c>
      <c r="E28" s="46">
        <f>(1+D11)^25</f>
        <v>0.95118180071111336</v>
      </c>
      <c r="F28" s="46">
        <f>E28*(1+E11)^25</f>
        <v>0.92768543449748897</v>
      </c>
      <c r="G28" s="45"/>
    </row>
    <row r="29" spans="2:15" ht="12" thickBot="1" x14ac:dyDescent="0.25">
      <c r="C29" s="25" t="s">
        <v>93</v>
      </c>
      <c r="D29" s="31" t="s">
        <v>53</v>
      </c>
      <c r="E29" s="46">
        <f>(1+D12)^D13</f>
        <v>0.97075423337649924</v>
      </c>
      <c r="F29" s="46">
        <f>(1+E12)^E13</f>
        <v>0.97075423337649924</v>
      </c>
      <c r="G29" s="44"/>
    </row>
    <row r="30" spans="2:15" ht="12" thickBot="1" x14ac:dyDescent="0.25">
      <c r="C30" s="25" t="s">
        <v>94</v>
      </c>
      <c r="D30" s="31" t="s">
        <v>53</v>
      </c>
      <c r="E30" s="31"/>
      <c r="F30" s="31"/>
      <c r="G30" s="45"/>
      <c r="I30" s="51">
        <f>184685*(1.003)^25</f>
        <v>199046.68508441633</v>
      </c>
      <c r="N30" s="51">
        <f>50.8*(1.2/1)^-0.1628</f>
        <v>49.314315055526158</v>
      </c>
    </row>
    <row r="31" spans="2:15" ht="12" thickBot="1" x14ac:dyDescent="0.25">
      <c r="C31" s="25" t="s">
        <v>95</v>
      </c>
      <c r="D31" s="31" t="s">
        <v>53</v>
      </c>
      <c r="E31" s="46">
        <f>((D15+63)/63)^D16</f>
        <v>1.0273244502992269</v>
      </c>
      <c r="F31" s="46">
        <f>((E15+63)/63)^E16</f>
        <v>1.0522688476044391</v>
      </c>
      <c r="G31" s="44"/>
    </row>
    <row r="32" spans="2:15" ht="12" thickBot="1" x14ac:dyDescent="0.25">
      <c r="C32" s="25" t="s">
        <v>96</v>
      </c>
      <c r="D32" s="31" t="s">
        <v>53</v>
      </c>
      <c r="E32" s="46">
        <f>(1+D17)^D18</f>
        <v>0.9986661675154257</v>
      </c>
      <c r="F32" s="46">
        <f>(1+E17)^E18</f>
        <v>0.99741675355985149</v>
      </c>
      <c r="G32" s="44"/>
    </row>
    <row r="33" spans="3:14" ht="12" thickBot="1" x14ac:dyDescent="0.25">
      <c r="C33" s="25" t="s">
        <v>177</v>
      </c>
      <c r="D33" s="31" t="s">
        <v>53</v>
      </c>
      <c r="E33" s="46">
        <f>E28*E29*E31*E32</f>
        <v>0.9473289011979128</v>
      </c>
      <c r="F33" s="46">
        <f>F28*F29*F31*F32</f>
        <v>0.9451775617511724</v>
      </c>
      <c r="G33" s="44"/>
      <c r="I33" s="51">
        <f>133089*(1+0.0035869)^25</f>
        <v>145551.52356138674</v>
      </c>
      <c r="N33" s="51">
        <f>50.8*0.971</f>
        <v>49.326799999999999</v>
      </c>
    </row>
    <row r="34" spans="3:14" ht="12" thickBot="1" x14ac:dyDescent="0.25">
      <c r="C34" s="25" t="s">
        <v>97</v>
      </c>
      <c r="D34" s="31"/>
      <c r="E34" s="31"/>
      <c r="F34" s="31"/>
      <c r="G34" s="44"/>
    </row>
    <row r="35" spans="3:14" ht="12" thickBot="1" x14ac:dyDescent="0.25">
      <c r="C35" s="25" t="s">
        <v>98</v>
      </c>
      <c r="D35" s="31">
        <v>50.8</v>
      </c>
      <c r="E35" s="47">
        <f>D35*E33</f>
        <v>48.124308180853966</v>
      </c>
      <c r="F35" s="47">
        <f>D35*F33</f>
        <v>48.015020136959556</v>
      </c>
      <c r="G35" s="44"/>
    </row>
    <row r="36" spans="3:14" x14ac:dyDescent="0.2">
      <c r="G36" s="44"/>
    </row>
    <row r="37" spans="3:14" x14ac:dyDescent="0.2">
      <c r="G37" s="44"/>
    </row>
    <row r="38" spans="3:14" x14ac:dyDescent="0.2">
      <c r="G38" s="44"/>
    </row>
    <row r="39" spans="3:14" x14ac:dyDescent="0.2">
      <c r="G39" s="44"/>
    </row>
    <row r="40" spans="3:14" x14ac:dyDescent="0.2">
      <c r="G40" s="44"/>
    </row>
  </sheetData>
  <mergeCells count="2">
    <mergeCell ref="B19:B20"/>
    <mergeCell ref="C19:C20"/>
  </mergeCells>
  <pageMargins left="0.25" right="0.25" top="0.75" bottom="0.75" header="0.3" footer="0.3"/>
  <pageSetup scale="66" orientation="landscape" r:id="rId1"/>
  <headerFooter>
    <oddFooter>&amp;L&amp;A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9"/>
  <sheetViews>
    <sheetView workbookViewId="0"/>
  </sheetViews>
  <sheetFormatPr defaultRowHeight="14.4" x14ac:dyDescent="0.3"/>
  <cols>
    <col min="1" max="1" width="2.33203125" customWidth="1"/>
    <col min="3" max="3" width="11.5546875" customWidth="1"/>
    <col min="4" max="4" width="10.5546875" customWidth="1"/>
    <col min="5" max="5" width="10.6640625" customWidth="1"/>
    <col min="6" max="6" width="9.44140625" customWidth="1"/>
    <col min="7" max="7" width="10.33203125" customWidth="1"/>
  </cols>
  <sheetData>
    <row r="2" spans="2:9" x14ac:dyDescent="0.3">
      <c r="C2" t="s">
        <v>78</v>
      </c>
    </row>
    <row r="3" spans="2:9" ht="22.8" x14ac:dyDescent="0.3">
      <c r="B3" s="22" t="s">
        <v>35</v>
      </c>
      <c r="C3" s="34" t="s">
        <v>79</v>
      </c>
      <c r="D3" s="34" t="s">
        <v>21</v>
      </c>
      <c r="E3" s="34" t="s">
        <v>22</v>
      </c>
      <c r="F3" s="34" t="s">
        <v>23</v>
      </c>
      <c r="G3" s="34" t="s">
        <v>80</v>
      </c>
      <c r="H3" s="34" t="s">
        <v>81</v>
      </c>
      <c r="I3" s="70" t="s">
        <v>143</v>
      </c>
    </row>
    <row r="4" spans="2:9" x14ac:dyDescent="0.3">
      <c r="B4" s="135">
        <v>2007</v>
      </c>
      <c r="C4" s="132">
        <f>'Table B2.1&amp;B2.2 Trends'!E5</f>
        <v>21.177</v>
      </c>
      <c r="D4" s="125">
        <f>'Table B2.1&amp;B2.2 Trends'!H5</f>
        <v>8.2233261483230997</v>
      </c>
      <c r="E4" s="125">
        <f>'Table B2.1&amp;B2.2 Trends'!I5</f>
        <v>5.442679643268777</v>
      </c>
      <c r="F4" s="125">
        <f>'Table B2.1&amp;B2.2 Trends'!J5</f>
        <v>2.2893373505904582</v>
      </c>
      <c r="G4" s="125">
        <f>'Table B2.1&amp;B2.2 Trends'!L5</f>
        <v>1.7270000000000001</v>
      </c>
      <c r="H4" s="125">
        <f>'Table B2.1&amp;B2.2 Trends'!M5</f>
        <v>3.4949999999999992</v>
      </c>
      <c r="I4" s="126">
        <f>SUM(D4:H4)</f>
        <v>21.17734314218233</v>
      </c>
    </row>
    <row r="5" spans="2:9" x14ac:dyDescent="0.3">
      <c r="B5" s="136">
        <v>2008</v>
      </c>
      <c r="C5" s="133">
        <f>'Table B2.1&amp;B2.2 Trends'!E6</f>
        <v>22.934000000000001</v>
      </c>
      <c r="D5" s="127">
        <f>'Table B2.1&amp;B2.2 Trends'!H6</f>
        <v>8.60479424109589</v>
      </c>
      <c r="E5" s="127">
        <f>'Table B2.1&amp;B2.2 Trends'!I6</f>
        <v>5.9323254958904101</v>
      </c>
      <c r="F5" s="127">
        <f>'Table B2.1&amp;B2.2 Trends'!J6</f>
        <v>2.5139224602739727</v>
      </c>
      <c r="G5" s="127">
        <f>'Table B2.1&amp;B2.2 Trends'!L6</f>
        <v>1.984</v>
      </c>
      <c r="H5" s="127">
        <f>'Table B2.1&amp;B2.2 Trends'!M6</f>
        <v>3.8990000000000027</v>
      </c>
      <c r="I5" s="128">
        <f t="shared" ref="I5:I15" si="0">SUM(D5:H5)</f>
        <v>22.934042197260275</v>
      </c>
    </row>
    <row r="6" spans="2:9" x14ac:dyDescent="0.3">
      <c r="B6" s="136">
        <v>2009</v>
      </c>
      <c r="C6" s="133">
        <f>'Table B2.1&amp;B2.2 Trends'!E7</f>
        <v>22.427</v>
      </c>
      <c r="D6" s="127">
        <f>'Table B2.1&amp;B2.2 Trends'!H7</f>
        <v>8.2238573095890413</v>
      </c>
      <c r="E6" s="127">
        <f>'Table B2.1&amp;B2.2 Trends'!I7</f>
        <v>5.8286660164383557</v>
      </c>
      <c r="F6" s="127">
        <f>'Table B2.1&amp;B2.2 Trends'!J7</f>
        <v>2.4869155616438356</v>
      </c>
      <c r="G6" s="127">
        <f>'Table B2.1&amp;B2.2 Trends'!L7</f>
        <v>2.0750000000000002</v>
      </c>
      <c r="H6" s="127">
        <f>'Table B2.1&amp;B2.2 Trends'!M7</f>
        <v>3.8129999999999979</v>
      </c>
      <c r="I6" s="128">
        <f t="shared" si="0"/>
        <v>22.427438887671233</v>
      </c>
    </row>
    <row r="7" spans="2:9" x14ac:dyDescent="0.3">
      <c r="B7" s="136">
        <v>2010</v>
      </c>
      <c r="C7" s="133">
        <f>'Table B2.1&amp;B2.2 Trends'!E8</f>
        <v>23.631</v>
      </c>
      <c r="D7" s="127">
        <f>'Table B2.1&amp;B2.2 Trends'!H8</f>
        <v>8.3653440712328759</v>
      </c>
      <c r="E7" s="127">
        <f>'Table B2.1&amp;B2.2 Trends'!I8</f>
        <v>6.1315004767123282</v>
      </c>
      <c r="F7" s="127">
        <f>'Table B2.1&amp;B2.2 Trends'!J8</f>
        <v>2.5550112273972601</v>
      </c>
      <c r="G7" s="127">
        <f>'Table B2.1&amp;B2.2 Trends'!L8</f>
        <v>2.089</v>
      </c>
      <c r="H7" s="127">
        <f>'Table B2.1&amp;B2.2 Trends'!M8</f>
        <v>4.49</v>
      </c>
      <c r="I7" s="128">
        <f t="shared" si="0"/>
        <v>23.630855775342461</v>
      </c>
    </row>
    <row r="8" spans="2:9" x14ac:dyDescent="0.3">
      <c r="B8" s="136">
        <v>2011</v>
      </c>
      <c r="C8" s="133">
        <f>'Table B2.1&amp;B2.2 Trends'!E9</f>
        <v>20.978999999999999</v>
      </c>
      <c r="D8" s="127">
        <f>'Table B2.1&amp;B2.2 Trends'!H9</f>
        <v>7.415357854133207</v>
      </c>
      <c r="E8" s="127">
        <f>'Table B2.1&amp;B2.2 Trends'!I9</f>
        <v>5.321988200283422</v>
      </c>
      <c r="F8" s="127">
        <f>'Table B2.1&amp;B2.2 Trends'!J9</f>
        <v>2.4238195886632026</v>
      </c>
      <c r="G8" s="127">
        <f>'Table B2.1&amp;B2.2 Trends'!L9</f>
        <v>2.4609999999999999</v>
      </c>
      <c r="H8" s="127">
        <f>'Table B2.1&amp;B2.2 Trends'!M9</f>
        <v>3.3569999999999998</v>
      </c>
      <c r="I8" s="128">
        <f t="shared" si="0"/>
        <v>20.979165643079831</v>
      </c>
    </row>
    <row r="9" spans="2:9" x14ac:dyDescent="0.3">
      <c r="B9" s="136">
        <v>2012</v>
      </c>
      <c r="C9" s="133">
        <f>'Table B2.1&amp;B2.2 Trends'!E10</f>
        <v>21.39</v>
      </c>
      <c r="D9" s="127">
        <f>'Table B2.1&amp;B2.2 Trends'!H10</f>
        <v>7.149666641534246</v>
      </c>
      <c r="E9" s="127">
        <f>'Table B2.1&amp;B2.2 Trends'!I10</f>
        <v>5.2174547232876716</v>
      </c>
      <c r="F9" s="127">
        <f>'Table B2.1&amp;B2.2 Trends'!J10</f>
        <v>3.0928929041095889</v>
      </c>
      <c r="G9" s="127">
        <f>'Table B2.1&amp;B2.2 Trends'!L10</f>
        <v>2.7210000000000001</v>
      </c>
      <c r="H9" s="127">
        <f>'Table B2.1&amp;B2.2 Trends'!M10</f>
        <v>3.2089999999999996</v>
      </c>
      <c r="I9" s="128">
        <f t="shared" si="0"/>
        <v>21.390014268931505</v>
      </c>
    </row>
    <row r="10" spans="2:9" x14ac:dyDescent="0.3">
      <c r="B10" s="136">
        <v>2013</v>
      </c>
      <c r="C10" s="133">
        <f>'Table B2.1&amp;B2.2 Trends'!E11</f>
        <v>22.835000000000001</v>
      </c>
      <c r="D10" s="127">
        <f>'Table B2.1&amp;B2.2 Trends'!H11</f>
        <v>7.2402373095890402</v>
      </c>
      <c r="E10" s="127">
        <f>'Table B2.1&amp;B2.2 Trends'!I11</f>
        <v>5.5236295671232876</v>
      </c>
      <c r="F10" s="127">
        <f>'Table B2.1&amp;B2.2 Trends'!J11</f>
        <v>3.8831784712328767</v>
      </c>
      <c r="G10" s="127">
        <f>'Table B2.1&amp;B2.2 Trends'!L11</f>
        <v>2.8769999999999998</v>
      </c>
      <c r="H10" s="127">
        <f>'Table B2.1&amp;B2.2 Trends'!M11</f>
        <v>3.3110000000000026</v>
      </c>
      <c r="I10" s="128">
        <f t="shared" si="0"/>
        <v>22.835045347945208</v>
      </c>
    </row>
    <row r="11" spans="2:9" x14ac:dyDescent="0.3">
      <c r="B11" s="136">
        <v>2014</v>
      </c>
      <c r="C11" s="133">
        <f>'Table B2.1&amp;B2.2 Trends'!E12</f>
        <v>23.07</v>
      </c>
      <c r="D11" s="127">
        <f>'Table B2.1&amp;B2.2 Trends'!H12</f>
        <v>7.2901196261917818</v>
      </c>
      <c r="E11" s="127">
        <f>'Table B2.1&amp;B2.2 Trends'!I12</f>
        <v>5.6965979068493153</v>
      </c>
      <c r="F11" s="127">
        <f>'Table B2.1&amp;B2.2 Trends'!J12</f>
        <v>3.8583182301369865</v>
      </c>
      <c r="G11" s="127">
        <f>'Table B2.1&amp;B2.2 Trends'!L12</f>
        <v>2.996</v>
      </c>
      <c r="H11" s="127">
        <f>'Table B2.1&amp;B2.2 Trends'!M12</f>
        <v>3.2290000000000014</v>
      </c>
      <c r="I11" s="128">
        <f t="shared" si="0"/>
        <v>23.070035763178087</v>
      </c>
    </row>
    <row r="12" spans="2:9" x14ac:dyDescent="0.3">
      <c r="B12" s="136">
        <v>2015</v>
      </c>
      <c r="C12" s="133">
        <f>'Table B2.1&amp;B2.2 Trends'!E13</f>
        <v>23.260999999999999</v>
      </c>
      <c r="D12" s="127">
        <f>'Table B2.1&amp;B2.2 Trends'!H13</f>
        <v>7.3585779055266878</v>
      </c>
      <c r="E12" s="127">
        <f>'Table B2.1&amp;B2.2 Trends'!I13</f>
        <v>5.8762813421993387</v>
      </c>
      <c r="F12" s="127">
        <f>'Table B2.1&amp;B2.2 Trends'!J13</f>
        <v>3.7001226607463389</v>
      </c>
      <c r="G12" s="127">
        <f>'Table B2.1&amp;B2.2 Trends'!L13</f>
        <v>3.0960000000000001</v>
      </c>
      <c r="H12" s="127">
        <f>'Table B2.1&amp;B2.2 Trends'!M13</f>
        <v>3.2300000000000004</v>
      </c>
      <c r="I12" s="128">
        <f t="shared" si="0"/>
        <v>23.260981908472367</v>
      </c>
    </row>
    <row r="13" spans="2:9" x14ac:dyDescent="0.3">
      <c r="B13" s="136">
        <v>2016</v>
      </c>
      <c r="C13" s="134">
        <f>'Table B2.1&amp;B2.2 Trends'!E14</f>
        <v>23.91</v>
      </c>
      <c r="D13" s="130">
        <f>'Table B2.1&amp;B2.2 Trends'!H14</f>
        <v>6.6732061753424654</v>
      </c>
      <c r="E13" s="130">
        <f>'Table B2.1&amp;B2.2 Trends'!I14</f>
        <v>5.923</v>
      </c>
      <c r="F13" s="130">
        <f>'Table B2.1&amp;B2.2 Trends'!J14</f>
        <v>3.8437322301369865</v>
      </c>
      <c r="G13" s="130">
        <f>'Table B2.1&amp;B2.2 Trends'!L14</f>
        <v>3.6280000000000001</v>
      </c>
      <c r="H13" s="130">
        <f>'Table B2.1&amp;B2.2 Trends'!M14</f>
        <v>3.8419999999999987</v>
      </c>
      <c r="I13" s="131">
        <f t="shared" si="0"/>
        <v>23.909938405479451</v>
      </c>
    </row>
    <row r="14" spans="2:9" x14ac:dyDescent="0.3">
      <c r="B14" s="135">
        <v>2040</v>
      </c>
      <c r="C14" s="124">
        <f>' B3.1&amp;B3.2&amp;B3.3 Forecast'!N16</f>
        <v>24.932519088868833</v>
      </c>
      <c r="D14" s="124">
        <f>' B3.1&amp;B3.2&amp;B3.3 Forecast'!N18</f>
        <v>7.0045663760610024</v>
      </c>
      <c r="E14" s="125">
        <f>' B3.1&amp;B3.2&amp;B3.3 Forecast'!N19</f>
        <v>6.1568294466466584</v>
      </c>
      <c r="F14" s="125">
        <f>' B3.1&amp;B3.2&amp;B3.3 Forecast'!N20</f>
        <v>3.9735565932258581</v>
      </c>
      <c r="G14" s="125">
        <f>' B3.1&amp;B3.2&amp;B3.3 Forecast'!N21</f>
        <v>3.5218584774167216</v>
      </c>
      <c r="H14" s="125">
        <f>' B3.1&amp;B3.2&amp;B3.3 Forecast'!N22</f>
        <v>3.3694215677160528</v>
      </c>
      <c r="I14" s="126">
        <f t="shared" si="0"/>
        <v>24.026232461066293</v>
      </c>
    </row>
    <row r="15" spans="2:9" x14ac:dyDescent="0.3">
      <c r="B15" s="137">
        <v>2065</v>
      </c>
      <c r="C15" s="129">
        <f>' B3.1&amp;B3.2&amp;B3.3 Forecast'!O16</f>
        <v>26.871350003753815</v>
      </c>
      <c r="D15" s="129">
        <f>' B3.1&amp;B3.2&amp;B3.3 Forecast'!O18</f>
        <v>7.3617090650182844</v>
      </c>
      <c r="E15" s="130">
        <f>' B3.1&amp;B3.2&amp;B3.3 Forecast'!O19</f>
        <v>6.4854766812973397</v>
      </c>
      <c r="F15" s="130">
        <f>' B3.1&amp;B3.2&amp;B3.3 Forecast'!O20</f>
        <v>4.1856622553053757</v>
      </c>
      <c r="G15" s="130">
        <f>' B3.1&amp;B3.2&amp;B3.3 Forecast'!O21</f>
        <v>4.1058057812355546</v>
      </c>
      <c r="H15" s="130">
        <f>' B3.1&amp;B3.2&amp;B3.3 Forecast'!O22</f>
        <v>3.1257623966755688</v>
      </c>
      <c r="I15" s="131">
        <f t="shared" si="0"/>
        <v>25.26441617953212</v>
      </c>
    </row>
    <row r="19" spans="5:6" x14ac:dyDescent="0.3">
      <c r="E19" s="74"/>
      <c r="F19" s="75"/>
    </row>
  </sheetData>
  <pageMargins left="0.25" right="0.25" top="0.75" bottom="0.75" header="0.3" footer="0.3"/>
  <pageSetup scale="58" orientation="landscape" r:id="rId1"/>
  <headerFooter>
    <oddFooter>&amp;L&amp;A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E22" sqref="E22"/>
    </sheetView>
  </sheetViews>
  <sheetFormatPr defaultRowHeight="14.4" x14ac:dyDescent="0.3"/>
  <cols>
    <col min="1" max="1" width="3.109375" customWidth="1"/>
    <col min="3" max="3" width="10.109375" bestFit="1" customWidth="1"/>
    <col min="7" max="7" width="10.109375" bestFit="1" customWidth="1"/>
  </cols>
  <sheetData>
    <row r="2" spans="2:9" x14ac:dyDescent="0.3">
      <c r="B2" s="1" t="s">
        <v>144</v>
      </c>
    </row>
    <row r="3" spans="2:9" ht="15" thickBot="1" x14ac:dyDescent="0.35"/>
    <row r="4" spans="2:9" ht="15" thickBot="1" x14ac:dyDescent="0.35">
      <c r="B4" s="72" t="s">
        <v>145</v>
      </c>
      <c r="C4" s="20">
        <v>2015</v>
      </c>
      <c r="D4" s="20">
        <v>2040</v>
      </c>
      <c r="E4" s="20" t="s">
        <v>146</v>
      </c>
      <c r="F4" s="20" t="s">
        <v>147</v>
      </c>
      <c r="G4" s="72">
        <v>2065</v>
      </c>
      <c r="H4" s="20" t="s">
        <v>146</v>
      </c>
      <c r="I4" s="20" t="s">
        <v>147</v>
      </c>
    </row>
    <row r="5" spans="2:9" ht="15" thickBot="1" x14ac:dyDescent="0.35">
      <c r="B5" s="5" t="s">
        <v>148</v>
      </c>
      <c r="C5" s="6">
        <f>'Table B2.1&amp;B2.2 Trends'!E13</f>
        <v>23.260999999999999</v>
      </c>
      <c r="D5" s="104">
        <f>' B3.1&amp;B3.2&amp;B3.3 Forecast'!N23</f>
        <v>24.026232461066293</v>
      </c>
      <c r="E5" s="104">
        <f>D5-C5</f>
        <v>0.76523246106629372</v>
      </c>
      <c r="F5" s="21">
        <f>E5/C5</f>
        <v>3.2897659647749183E-2</v>
      </c>
      <c r="G5" s="138">
        <f>' B3.1&amp;B3.2&amp;B3.3 Forecast'!O23</f>
        <v>25.26441617953212</v>
      </c>
      <c r="H5" s="104">
        <f>G5-C5</f>
        <v>2.0034161795321204</v>
      </c>
      <c r="I5" s="21">
        <f>H5/C5</f>
        <v>8.6127689245179509E-2</v>
      </c>
    </row>
    <row r="6" spans="2:9" ht="15" thickBot="1" x14ac:dyDescent="0.35">
      <c r="B6" s="25" t="s">
        <v>76</v>
      </c>
      <c r="C6" s="14">
        <f>'Table B2.1&amp;B2.2 Trends'!D13</f>
        <v>163035</v>
      </c>
      <c r="D6" s="14">
        <f>' B3.1&amp;B3.2&amp;B3.3 Forecast'!J16</f>
        <v>184685.32658421359</v>
      </c>
      <c r="E6" s="166">
        <f>D6-C6</f>
        <v>21650.326584213588</v>
      </c>
      <c r="F6" s="105">
        <f t="shared" ref="F6:F7" si="0">E6/C6</f>
        <v>0.13279557508641449</v>
      </c>
      <c r="G6" s="73">
        <f>' B3.1&amp;B3.2&amp;B3.3 Forecast'!K16</f>
        <v>199047.03706484308</v>
      </c>
      <c r="H6" s="166">
        <f>G6-C6</f>
        <v>36012.037064843083</v>
      </c>
      <c r="I6" s="105">
        <f>H6/C6</f>
        <v>0.22088531336733269</v>
      </c>
    </row>
    <row r="7" spans="2:9" ht="15" thickBot="1" x14ac:dyDescent="0.35">
      <c r="B7" s="5" t="s">
        <v>149</v>
      </c>
      <c r="C7" s="139">
        <f>C5*1000000/C6</f>
        <v>142.67488576072623</v>
      </c>
      <c r="D7" s="139">
        <f>D5*1000000/D6</f>
        <v>130.09280653442011</v>
      </c>
      <c r="E7" s="103">
        <f>D7-C7</f>
        <v>-12.582079226306121</v>
      </c>
      <c r="F7" s="105">
        <f t="shared" si="0"/>
        <v>-8.8187063611229882E-2</v>
      </c>
      <c r="G7" s="139">
        <f>G5*1000000/G6</f>
        <v>126.92686388143416</v>
      </c>
      <c r="H7" s="167">
        <f>G7-C7</f>
        <v>-15.748021879292068</v>
      </c>
      <c r="I7" s="105">
        <f>H7/C7</f>
        <v>-0.11037697206011703</v>
      </c>
    </row>
  </sheetData>
  <pageMargins left="0.7" right="0.7" top="0.75" bottom="0.75" header="0.3" footer="0.3"/>
  <pageSetup orientation="portrait" r:id="rId1"/>
  <headerFooter>
    <oddFooter>&amp;L&amp;A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workbookViewId="0">
      <selection activeCell="C28" sqref="C28"/>
    </sheetView>
  </sheetViews>
  <sheetFormatPr defaultRowHeight="14.4" x14ac:dyDescent="0.3"/>
  <cols>
    <col min="1" max="1" width="3.33203125" customWidth="1"/>
    <col min="2" max="2" width="3.33203125" bestFit="1" customWidth="1"/>
    <col min="3" max="3" width="39.109375" customWidth="1"/>
    <col min="4" max="5" width="7.44140625" bestFit="1" customWidth="1"/>
    <col min="6" max="6" width="10" customWidth="1"/>
  </cols>
  <sheetData>
    <row r="3" spans="2:6" ht="15" thickBot="1" x14ac:dyDescent="0.35"/>
    <row r="4" spans="2:6" ht="23.4" thickBot="1" x14ac:dyDescent="0.35">
      <c r="B4" s="16" t="s">
        <v>50</v>
      </c>
      <c r="C4" s="17" t="s">
        <v>51</v>
      </c>
      <c r="D4" s="17">
        <v>2040</v>
      </c>
      <c r="E4" s="17">
        <v>2065</v>
      </c>
      <c r="F4" s="17" t="s">
        <v>178</v>
      </c>
    </row>
    <row r="5" spans="2:6" ht="23.4" thickBot="1" x14ac:dyDescent="0.35">
      <c r="B5" s="168">
        <v>1</v>
      </c>
      <c r="C5" s="26" t="s">
        <v>179</v>
      </c>
      <c r="D5" s="27">
        <v>5.0000000000000001E-3</v>
      </c>
      <c r="E5" s="27" t="s">
        <v>53</v>
      </c>
      <c r="F5" s="26"/>
    </row>
    <row r="6" spans="2:6" ht="23.4" thickBot="1" x14ac:dyDescent="0.35">
      <c r="B6" s="168">
        <v>2</v>
      </c>
      <c r="C6" s="26" t="s">
        <v>54</v>
      </c>
      <c r="D6" s="27" t="s">
        <v>53</v>
      </c>
      <c r="E6" s="27">
        <v>3.0000000000000001E-3</v>
      </c>
      <c r="F6" s="26"/>
    </row>
    <row r="7" spans="2:6" ht="23.4" thickBot="1" x14ac:dyDescent="0.35">
      <c r="B7" s="168">
        <v>3</v>
      </c>
      <c r="C7" s="26" t="s">
        <v>55</v>
      </c>
      <c r="D7" s="27">
        <v>135</v>
      </c>
      <c r="E7" s="27">
        <v>135</v>
      </c>
      <c r="F7" s="26"/>
    </row>
    <row r="8" spans="2:6" ht="23.4" thickBot="1" x14ac:dyDescent="0.35">
      <c r="B8" s="168">
        <v>4</v>
      </c>
      <c r="C8" s="26" t="s">
        <v>180</v>
      </c>
      <c r="D8" s="27"/>
      <c r="E8" s="27"/>
      <c r="F8" s="26"/>
    </row>
    <row r="9" spans="2:6" ht="15" thickBot="1" x14ac:dyDescent="0.35">
      <c r="B9" s="168" t="s">
        <v>56</v>
      </c>
      <c r="C9" s="26" t="s">
        <v>57</v>
      </c>
      <c r="D9" s="27">
        <v>3.5869999999999999E-3</v>
      </c>
      <c r="E9" s="27">
        <v>2.0820000000000001E-3</v>
      </c>
      <c r="F9" s="26"/>
    </row>
    <row r="10" spans="2:6" ht="15" thickBot="1" x14ac:dyDescent="0.35">
      <c r="B10" s="168" t="s">
        <v>58</v>
      </c>
      <c r="C10" s="26" t="s">
        <v>59</v>
      </c>
      <c r="D10" s="27">
        <v>1.076E-2</v>
      </c>
      <c r="E10" s="27">
        <v>6.2500000000000003E-3</v>
      </c>
      <c r="F10" s="26"/>
    </row>
    <row r="11" spans="2:6" ht="23.4" thickBot="1" x14ac:dyDescent="0.35">
      <c r="B11" s="168">
        <v>5</v>
      </c>
      <c r="C11" s="26" t="s">
        <v>60</v>
      </c>
      <c r="D11" s="27">
        <v>-2E-3</v>
      </c>
      <c r="E11" s="27">
        <v>-1E-3</v>
      </c>
      <c r="F11" s="26"/>
    </row>
    <row r="12" spans="2:6" ht="23.4" thickBot="1" x14ac:dyDescent="0.35">
      <c r="B12" s="168">
        <v>6</v>
      </c>
      <c r="C12" s="26" t="s">
        <v>61</v>
      </c>
      <c r="D12" s="28">
        <v>0.2</v>
      </c>
      <c r="E12" s="28">
        <v>0.2</v>
      </c>
      <c r="F12" s="26"/>
    </row>
    <row r="13" spans="2:6" ht="15" thickBot="1" x14ac:dyDescent="0.35">
      <c r="B13" s="168" t="s">
        <v>62</v>
      </c>
      <c r="C13" s="26" t="s">
        <v>63</v>
      </c>
      <c r="D13" s="27">
        <v>-0.1628</v>
      </c>
      <c r="E13" s="27">
        <v>-0.1628</v>
      </c>
      <c r="F13" s="26"/>
    </row>
    <row r="14" spans="2:6" ht="15" thickBot="1" x14ac:dyDescent="0.35">
      <c r="B14" s="168">
        <v>7</v>
      </c>
      <c r="C14" s="26" t="s">
        <v>64</v>
      </c>
      <c r="D14" s="27"/>
      <c r="E14" s="27"/>
      <c r="F14" s="26"/>
    </row>
    <row r="15" spans="2:6" ht="15" thickBot="1" x14ac:dyDescent="0.35">
      <c r="B15" s="168" t="s">
        <v>65</v>
      </c>
      <c r="C15" s="26" t="s">
        <v>181</v>
      </c>
      <c r="D15" s="27" t="s">
        <v>182</v>
      </c>
      <c r="E15" s="27" t="s">
        <v>183</v>
      </c>
      <c r="F15" s="26"/>
    </row>
    <row r="16" spans="2:6" ht="15" thickBot="1" x14ac:dyDescent="0.35">
      <c r="B16" s="168" t="s">
        <v>66</v>
      </c>
      <c r="C16" s="26" t="s">
        <v>67</v>
      </c>
      <c r="D16" s="27">
        <v>0.64239999999999997</v>
      </c>
      <c r="E16" s="27">
        <v>0.64239999999999997</v>
      </c>
      <c r="F16" s="26"/>
    </row>
    <row r="17" spans="2:6" ht="15" thickBot="1" x14ac:dyDescent="0.35">
      <c r="B17" s="168" t="s">
        <v>68</v>
      </c>
      <c r="C17" s="26" t="s">
        <v>69</v>
      </c>
      <c r="D17" s="29">
        <v>2.5999999999999999E-2</v>
      </c>
      <c r="E17" s="29">
        <v>5.0999999999999997E-2</v>
      </c>
      <c r="F17" s="26"/>
    </row>
    <row r="18" spans="2:6" ht="15" thickBot="1" x14ac:dyDescent="0.35">
      <c r="B18" s="168" t="s">
        <v>70</v>
      </c>
      <c r="C18" s="26" t="s">
        <v>71</v>
      </c>
      <c r="D18" s="27">
        <v>-5.1999999999999998E-2</v>
      </c>
      <c r="E18" s="27">
        <v>-5.1999999999999998E-2</v>
      </c>
      <c r="F18" s="26"/>
    </row>
    <row r="19" spans="2:6" x14ac:dyDescent="0.3">
      <c r="B19" s="177">
        <v>8</v>
      </c>
      <c r="C19" s="177" t="s">
        <v>72</v>
      </c>
      <c r="D19" s="30">
        <v>42.3</v>
      </c>
      <c r="E19" s="30">
        <v>42.3</v>
      </c>
      <c r="F19" s="177"/>
    </row>
    <row r="20" spans="2:6" ht="15" thickBot="1" x14ac:dyDescent="0.35">
      <c r="B20" s="178"/>
      <c r="C20" s="178"/>
      <c r="D20" s="27">
        <v>27.3</v>
      </c>
      <c r="E20" s="27">
        <v>27.3</v>
      </c>
      <c r="F20" s="178"/>
    </row>
    <row r="21" spans="2:6" ht="23.4" thickBot="1" x14ac:dyDescent="0.35">
      <c r="B21" s="168">
        <v>9</v>
      </c>
      <c r="C21" s="26" t="s">
        <v>73</v>
      </c>
      <c r="D21" s="27">
        <v>90</v>
      </c>
      <c r="E21" s="27">
        <v>89.8</v>
      </c>
      <c r="F21" s="26"/>
    </row>
    <row r="22" spans="2:6" ht="15" thickBot="1" x14ac:dyDescent="0.35">
      <c r="B22" s="168">
        <v>10</v>
      </c>
      <c r="C22" s="26" t="s">
        <v>74</v>
      </c>
      <c r="D22" s="27">
        <v>5.0000000000000001E-3</v>
      </c>
      <c r="E22" s="27">
        <v>5.0000000000000001E-3</v>
      </c>
      <c r="F22" s="26"/>
    </row>
  </sheetData>
  <mergeCells count="3">
    <mergeCell ref="B19:B20"/>
    <mergeCell ref="C19:C20"/>
    <mergeCell ref="F19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B1.1&amp;B1.2 Data</vt:lpstr>
      <vt:lpstr>Table B1.3&amp;B1.4 Weather</vt:lpstr>
      <vt:lpstr>Table B2.1&amp;B2.2 Trends</vt:lpstr>
      <vt:lpstr>Trend Answers</vt:lpstr>
      <vt:lpstr> B3.1&amp;B3.2&amp;B3.3 Forecast</vt:lpstr>
      <vt:lpstr>Graph-Forecast</vt:lpstr>
      <vt:lpstr>Table B4.1</vt:lpstr>
      <vt:lpstr>Table B4.2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Dziegielewski</dc:creator>
  <cp:lastModifiedBy>AGM</cp:lastModifiedBy>
  <cp:lastPrinted>2018-04-27T17:47:20Z</cp:lastPrinted>
  <dcterms:created xsi:type="dcterms:W3CDTF">2018-03-23T15:29:38Z</dcterms:created>
  <dcterms:modified xsi:type="dcterms:W3CDTF">2018-07-10T21:54:44Z</dcterms:modified>
</cp:coreProperties>
</file>