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ace-my.dps.mil/personal/john_c_nielsen_usace_army_mil/Documents/Documents/Tools/Updated Cost of Storage/"/>
    </mc:Choice>
  </mc:AlternateContent>
  <xr:revisionPtr revIDLastSave="52" documentId="8_{B8FA93A8-D0E7-4BCC-BD7A-006135C03447}" xr6:coauthVersionLast="47" xr6:coauthVersionMax="47" xr10:uidLastSave="{99BFDD39-D954-4BF6-92D2-05A1CC272582}"/>
  <bookViews>
    <workbookView xWindow="-28920" yWindow="-90" windowWidth="29040" windowHeight="15690" xr2:uid="{143013A9-3CBB-4C72-A3CD-91AD29583845}"/>
  </bookViews>
  <sheets>
    <sheet name="Total Annual Cost" sheetId="2" r:id="rId1"/>
    <sheet name="Storage Capacity" sheetId="1" r:id="rId2"/>
    <sheet name="Joint Costs O&amp;M" sheetId="3" r:id="rId3"/>
    <sheet name="Updated Storage Costs" sheetId="4" r:id="rId4"/>
    <sheet name="RR&amp;R and Mitig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8" i="2" s="1"/>
  <c r="F8" i="2"/>
  <c r="E16" i="2"/>
  <c r="D12" i="2" l="1"/>
  <c r="E17" i="2"/>
  <c r="E15" i="2"/>
  <c r="E2" i="2"/>
  <c r="E4" i="2" s="1"/>
  <c r="B55" i="5"/>
  <c r="D58" i="5" s="1"/>
  <c r="E49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4" i="5"/>
  <c r="E23" i="5"/>
  <c r="E22" i="5"/>
  <c r="E21" i="5"/>
  <c r="E20" i="5"/>
  <c r="E19" i="5"/>
  <c r="E17" i="5"/>
  <c r="E16" i="5"/>
  <c r="E15" i="5"/>
  <c r="E14" i="5"/>
  <c r="E13" i="5"/>
  <c r="D46" i="5" s="1"/>
  <c r="D47" i="5" s="1"/>
  <c r="B9" i="4"/>
  <c r="M7" i="4"/>
  <c r="I7" i="4"/>
  <c r="E7" i="4"/>
  <c r="F7" i="4" s="1"/>
  <c r="M6" i="4"/>
  <c r="I6" i="4"/>
  <c r="E6" i="4"/>
  <c r="F6" i="4" s="1"/>
  <c r="K6" i="4" s="1"/>
  <c r="N6" i="4" s="1"/>
  <c r="M5" i="4"/>
  <c r="I5" i="4"/>
  <c r="E5" i="4"/>
  <c r="F5" i="4" s="1"/>
  <c r="K5" i="4" s="1"/>
  <c r="N5" i="4" s="1"/>
  <c r="M4" i="4"/>
  <c r="I4" i="4"/>
  <c r="E4" i="4"/>
  <c r="F4" i="4" s="1"/>
  <c r="K4" i="4" s="1"/>
  <c r="N4" i="4" s="1"/>
  <c r="M3" i="4"/>
  <c r="I3" i="4"/>
  <c r="E3" i="4"/>
  <c r="F3" i="4" s="1"/>
  <c r="K3" i="4" s="1"/>
  <c r="N3" i="4" s="1"/>
  <c r="F44" i="3"/>
  <c r="I43" i="3"/>
  <c r="I44" i="3" s="1"/>
  <c r="J44" i="3" s="1"/>
  <c r="I42" i="3"/>
  <c r="J42" i="3" s="1"/>
  <c r="I41" i="3"/>
  <c r="J41" i="3" s="1"/>
  <c r="I40" i="3"/>
  <c r="J40" i="3" s="1"/>
  <c r="I39" i="3"/>
  <c r="J39" i="3" s="1"/>
  <c r="F37" i="3"/>
  <c r="I36" i="3"/>
  <c r="I37" i="3" s="1"/>
  <c r="J37" i="3" s="1"/>
  <c r="I35" i="3"/>
  <c r="J35" i="3" s="1"/>
  <c r="I34" i="3"/>
  <c r="J34" i="3" s="1"/>
  <c r="I33" i="3"/>
  <c r="J33" i="3" s="1"/>
  <c r="J32" i="3"/>
  <c r="I32" i="3"/>
  <c r="F30" i="3"/>
  <c r="I29" i="3"/>
  <c r="I30" i="3" s="1"/>
  <c r="J30" i="3" s="1"/>
  <c r="I28" i="3"/>
  <c r="J28" i="3" s="1"/>
  <c r="I27" i="3"/>
  <c r="J27" i="3" s="1"/>
  <c r="I26" i="3"/>
  <c r="J26" i="3" s="1"/>
  <c r="I25" i="3"/>
  <c r="J25" i="3" s="1"/>
  <c r="F23" i="3"/>
  <c r="I22" i="3"/>
  <c r="I23" i="3" s="1"/>
  <c r="J23" i="3" s="1"/>
  <c r="I21" i="3"/>
  <c r="J21" i="3" s="1"/>
  <c r="I20" i="3"/>
  <c r="J20" i="3" s="1"/>
  <c r="I19" i="3"/>
  <c r="J19" i="3" s="1"/>
  <c r="J18" i="3"/>
  <c r="I18" i="3"/>
  <c r="F16" i="3"/>
  <c r="I15" i="3"/>
  <c r="I16" i="3" s="1"/>
  <c r="J16" i="3" s="1"/>
  <c r="I14" i="3"/>
  <c r="J14" i="3" s="1"/>
  <c r="I13" i="3"/>
  <c r="J13" i="3" s="1"/>
  <c r="I12" i="3"/>
  <c r="J12" i="3" s="1"/>
  <c r="I11" i="3"/>
  <c r="J11" i="3" s="1"/>
  <c r="H9" i="3"/>
  <c r="F9" i="3"/>
  <c r="I8" i="3"/>
  <c r="I9" i="3" s="1"/>
  <c r="J9" i="3" s="1"/>
  <c r="I7" i="3"/>
  <c r="J7" i="3" s="1"/>
  <c r="I6" i="3"/>
  <c r="J6" i="3" s="1"/>
  <c r="I5" i="3"/>
  <c r="J5" i="3" s="1"/>
  <c r="I4" i="3"/>
  <c r="J4" i="3" s="1"/>
  <c r="C13" i="1"/>
  <c r="D13" i="1"/>
  <c r="K7" i="4" l="1"/>
  <c r="N7" i="4" s="1"/>
  <c r="D59" i="5"/>
  <c r="B51" i="5"/>
  <c r="E18" i="2"/>
  <c r="F9" i="4"/>
  <c r="J8" i="3"/>
  <c r="K9" i="3" s="1"/>
  <c r="J36" i="3"/>
  <c r="K37" i="3" s="1"/>
  <c r="J15" i="3"/>
  <c r="K16" i="3" s="1"/>
  <c r="J29" i="3"/>
  <c r="K30" i="3" s="1"/>
  <c r="J43" i="3"/>
  <c r="K44" i="3" s="1"/>
  <c r="J22" i="3"/>
  <c r="K23" i="3" s="1"/>
  <c r="K9" i="4" l="1"/>
  <c r="N9" i="4"/>
  <c r="E5" i="2" s="1"/>
  <c r="K47" i="3"/>
  <c r="E20" i="2" l="1"/>
  <c r="F20" i="2"/>
</calcChain>
</file>

<file path=xl/sharedStrings.xml><?xml version="1.0" encoding="utf-8"?>
<sst xmlns="http://schemas.openxmlformats.org/spreadsheetml/2006/main" count="255" uniqueCount="119">
  <si>
    <t>Step 1 Storage Capacity</t>
  </si>
  <si>
    <t>Elevation, ft (NGVD 29)</t>
  </si>
  <si>
    <t>Storage (Capacity) AC-FT</t>
  </si>
  <si>
    <t>Feature</t>
  </si>
  <si>
    <t>Original</t>
  </si>
  <si>
    <t>Top of Flood Control</t>
  </si>
  <si>
    <t>Top of Conservation Pool - Summer Pool</t>
  </si>
  <si>
    <t>Winter Pool Elevation</t>
  </si>
  <si>
    <t>Bottom of Conservation Pool</t>
  </si>
  <si>
    <t>Summer Conservation</t>
  </si>
  <si>
    <t>840-800</t>
  </si>
  <si>
    <t>Winter Conservation</t>
  </si>
  <si>
    <t>823-800</t>
  </si>
  <si>
    <t>Usable Storage</t>
  </si>
  <si>
    <t>860-800</t>
  </si>
  <si>
    <t>Flood Control Storage</t>
  </si>
  <si>
    <t>860-840</t>
  </si>
  <si>
    <t>Step 2 Joint Cost Operations and Maintenance</t>
  </si>
  <si>
    <t>Year</t>
  </si>
  <si>
    <t>Project</t>
  </si>
  <si>
    <t>Work Function Name</t>
  </si>
  <si>
    <t>WCC</t>
  </si>
  <si>
    <t>Funded Level</t>
  </si>
  <si>
    <t>2019 Prices</t>
  </si>
  <si>
    <t>2019 Prices for Joint Operations and Joint Maintenance</t>
  </si>
  <si>
    <t>2019</t>
  </si>
  <si>
    <t>ALLATOONA</t>
  </si>
  <si>
    <t>99</t>
  </si>
  <si>
    <t>ANNUAL JOINT OPERATIONS</t>
  </si>
  <si>
    <t>ANNUAL ENVIRONMENTAL STEWARDSHIP MAINTENANCE</t>
  </si>
  <si>
    <t>ANNUAL ENVIRONMENTAL STEWARDSHIP OPERATIONS</t>
  </si>
  <si>
    <t>ANNUAL JOINT MAINTENANCE</t>
  </si>
  <si>
    <t>ANNUAL PICES AND DAM SAFETY EVAL</t>
  </si>
  <si>
    <t>FL</t>
  </si>
  <si>
    <t>2020</t>
  </si>
  <si>
    <t>2021</t>
  </si>
  <si>
    <t>2022</t>
  </si>
  <si>
    <t>2023</t>
  </si>
  <si>
    <t>2024</t>
  </si>
  <si>
    <t>Interest Rate for Price Inflation</t>
  </si>
  <si>
    <t>Base Cost Year</t>
  </si>
  <si>
    <t>Future Cost Year</t>
  </si>
  <si>
    <t>Average Annual Joint O&amp;M</t>
  </si>
  <si>
    <t>Category </t>
  </si>
  <si>
    <t>Actual Joint use as of Mid-point of construction 1939</t>
  </si>
  <si>
    <t>1939 ENR Index Value</t>
  </si>
  <si>
    <t>1948 ENR Index Value</t>
  </si>
  <si>
    <t>ENR Ratio (1939 to 1948)</t>
  </si>
  <si>
    <t>Actual Joint use as of Mid-Point of Construction 1948</t>
  </si>
  <si>
    <t>1967 ENR Index Value</t>
  </si>
  <si>
    <t>ENR ratio (1948 to 1967)</t>
  </si>
  <si>
    <t>1967 CWCCIS Index Base 100</t>
  </si>
  <si>
    <t>Updated Joint-Use as of 1967</t>
  </si>
  <si>
    <t>Mar 2019 CWCCIS Index Value</t>
  </si>
  <si>
    <t>CWCCIS Update Value</t>
  </si>
  <si>
    <t>FY 2020 Joint Costs</t>
  </si>
  <si>
    <t>Lands and Damages </t>
  </si>
  <si>
    <t>Relocations </t>
  </si>
  <si>
    <t>Dam </t>
  </si>
  <si>
    <t>Roads, Railroads, &amp; Bridges </t>
  </si>
  <si>
    <t>Channels &amp; Canals </t>
  </si>
  <si>
    <t>Total </t>
  </si>
  <si>
    <r>
      <t>Storage Recommendation (S</t>
    </r>
    <r>
      <rPr>
        <sz val="8"/>
        <color indexed="8"/>
        <rFont val="Times New Roman"/>
        <family val="1"/>
      </rPr>
      <t>Rec</t>
    </r>
    <r>
      <rPr>
        <sz val="12"/>
        <color indexed="8"/>
        <rFont val="Times New Roman"/>
        <family val="1"/>
      </rPr>
      <t>)</t>
    </r>
  </si>
  <si>
    <r>
      <t>Annual Cost of Storage Recommendation (A</t>
    </r>
    <r>
      <rPr>
        <sz val="8"/>
        <color indexed="8"/>
        <rFont val="Times New Roman"/>
        <family val="1"/>
      </rPr>
      <t>Rec</t>
    </r>
    <r>
      <rPr>
        <sz val="12"/>
        <color indexed="8"/>
        <rFont val="Times New Roman"/>
        <family val="1"/>
      </rPr>
      <t>)</t>
    </r>
  </si>
  <si>
    <t>Over 50 years*</t>
  </si>
  <si>
    <t>-</t>
  </si>
  <si>
    <r>
      <t>Total Annual Cost =A</t>
    </r>
    <r>
      <rPr>
        <sz val="8"/>
        <color indexed="8"/>
        <rFont val="Times New Roman"/>
        <family val="1"/>
      </rPr>
      <t xml:space="preserve">Rec </t>
    </r>
    <r>
      <rPr>
        <sz val="12"/>
        <color indexed="8"/>
        <rFont val="Times New Roman"/>
        <family val="1"/>
      </rPr>
      <t>+ O&amp;M</t>
    </r>
    <r>
      <rPr>
        <sz val="8"/>
        <color indexed="8"/>
        <rFont val="Times New Roman"/>
        <family val="1"/>
      </rPr>
      <t xml:space="preserve">Rec </t>
    </r>
    <r>
      <rPr>
        <sz val="12"/>
        <color indexed="8"/>
        <rFont val="Times New Roman"/>
        <family val="1"/>
      </rPr>
      <t>+ R,R&amp;R</t>
    </r>
    <r>
      <rPr>
        <sz val="8"/>
        <color indexed="8"/>
        <rFont val="Times New Roman"/>
        <family val="1"/>
      </rPr>
      <t>rec</t>
    </r>
  </si>
  <si>
    <t>Annualization of RR&amp;R and Mitigation</t>
  </si>
  <si>
    <t>Federal Discount Rate</t>
  </si>
  <si>
    <t>Analysis Years (Periods)</t>
  </si>
  <si>
    <t>CWCCI Ratio (FY/FY)</t>
  </si>
  <si>
    <t>FY-Category</t>
  </si>
  <si>
    <t>FY2019 Dollars</t>
  </si>
  <si>
    <t>2020-Construction</t>
  </si>
  <si>
    <t>2020-PED</t>
  </si>
  <si>
    <t>Construction Management</t>
  </si>
  <si>
    <t>Future Cost - Year</t>
  </si>
  <si>
    <t>Period (yr) which Cost Occurs</t>
  </si>
  <si>
    <t>Future Value Cost</t>
  </si>
  <si>
    <t>Present Value Cost</t>
  </si>
  <si>
    <t>RR&amp;R</t>
  </si>
  <si>
    <t>P&amp;S For Sluice Gate Rehab - 2021</t>
  </si>
  <si>
    <t>HSS Inspection - 2022</t>
  </si>
  <si>
    <t>Rockfall Protection - 2022</t>
  </si>
  <si>
    <t>Sluice Gate Rehab - 2025</t>
  </si>
  <si>
    <t>Spillway Gate Automation - 2027</t>
  </si>
  <si>
    <t>Mitigation</t>
  </si>
  <si>
    <t>Mods to USACE Floating Docks (16) 2023</t>
  </si>
  <si>
    <t>Swim Beach Modifications (Qty 17) 2023</t>
  </si>
  <si>
    <t>Bouy/Marker Modifications (Qty 453) 2025</t>
  </si>
  <si>
    <t>Shoreline Mgmt Plan Update 2027</t>
  </si>
  <si>
    <t>Rip Rap/Bulkhead Additions (160KLF)</t>
  </si>
  <si>
    <t>Broken down over 17 periods below</t>
  </si>
  <si>
    <t>Operations and Maintenance</t>
  </si>
  <si>
    <t>Interest During Construction (13 Months)</t>
  </si>
  <si>
    <t>PV Total</t>
  </si>
  <si>
    <t>Total First Cost FY 2020 dollars</t>
  </si>
  <si>
    <t>Formula for Average Annual Cost - Discount Rate: 2.75 Period (yrs):</t>
  </si>
  <si>
    <t>((First Cost)*(Discount Rate))/(1-((1+Discount Rate)^-Periods))</t>
  </si>
  <si>
    <t>Formula for Capital Recovery Factor - Discount Rate: 2.875 Period (yrs):</t>
  </si>
  <si>
    <t>((Discount Rate*(1+Discount Rate)^Periods)/((1+Discount Rate)^Periods-1))</t>
  </si>
  <si>
    <t>Fiscal Year</t>
  </si>
  <si>
    <t>Capital Recovery Factor</t>
  </si>
  <si>
    <t>Average Annual Cost</t>
  </si>
  <si>
    <t>i(1+i)n-1</t>
  </si>
  <si>
    <t>ARec= CRec</t>
  </si>
  <si>
    <t>(1+i)n -1</t>
  </si>
  <si>
    <t>Where: CRec = $</t>
  </si>
  <si>
    <t>Over 30 Years*</t>
  </si>
  <si>
    <r>
      <t>Operation and Maintenance (O&amp;M</t>
    </r>
    <r>
      <rPr>
        <sz val="8"/>
        <color indexed="8"/>
        <rFont val="Times New Roman"/>
        <family val="1"/>
      </rPr>
      <t>Tot</t>
    </r>
    <r>
      <rPr>
        <sz val="12"/>
        <color indexed="8"/>
        <rFont val="Times New Roman"/>
        <family val="1"/>
      </rPr>
      <t>)</t>
    </r>
  </si>
  <si>
    <r>
      <t>Total Usable Storage (S</t>
    </r>
    <r>
      <rPr>
        <sz val="8"/>
        <color indexed="8"/>
        <rFont val="Times New Roman"/>
        <family val="1"/>
      </rPr>
      <t>Tot</t>
    </r>
    <r>
      <rPr>
        <sz val="12"/>
        <color indexed="8"/>
        <rFont val="Times New Roman"/>
        <family val="1"/>
      </rPr>
      <t>)</t>
    </r>
  </si>
  <si>
    <r>
      <t>Total Updated Cost of Storage (C</t>
    </r>
    <r>
      <rPr>
        <sz val="8"/>
        <color indexed="8"/>
        <rFont val="Times New Roman"/>
        <family val="1"/>
      </rPr>
      <t>Tot</t>
    </r>
    <r>
      <rPr>
        <sz val="12"/>
        <color indexed="8"/>
        <rFont val="Times New Roman"/>
        <family val="1"/>
      </rPr>
      <t>)</t>
    </r>
  </si>
  <si>
    <r>
      <t>Replacement and Rehabilitation (R&amp;R</t>
    </r>
    <r>
      <rPr>
        <sz val="8"/>
        <color indexed="8"/>
        <rFont val="Times New Roman"/>
        <family val="1"/>
      </rPr>
      <t>Tot</t>
    </r>
    <r>
      <rPr>
        <sz val="12"/>
        <color indexed="8"/>
        <rFont val="Times New Roman"/>
        <family val="1"/>
      </rPr>
      <t>)</t>
    </r>
  </si>
  <si>
    <t>N =Periods</t>
  </si>
  <si>
    <t>i =Interest Rate</t>
  </si>
  <si>
    <r>
      <t>Annual Operation and Maintenance Estimate (O&amp;M</t>
    </r>
    <r>
      <rPr>
        <sz val="8"/>
        <color indexed="8"/>
        <rFont val="Times New Roman"/>
        <family val="1"/>
      </rPr>
      <t>Req</t>
    </r>
    <r>
      <rPr>
        <sz val="12"/>
        <color indexed="8"/>
        <rFont val="Times New Roman"/>
        <family val="1"/>
      </rPr>
      <t>)
O&amp;M</t>
    </r>
    <r>
      <rPr>
        <sz val="8"/>
        <color indexed="8"/>
        <rFont val="Times New Roman"/>
        <family val="1"/>
      </rPr>
      <t xml:space="preserve">Req </t>
    </r>
    <r>
      <rPr>
        <sz val="12"/>
        <color indexed="8"/>
        <rFont val="Times New Roman"/>
        <family val="1"/>
      </rPr>
      <t>= P x O&amp;M</t>
    </r>
    <r>
      <rPr>
        <sz val="8"/>
        <color indexed="8"/>
        <rFont val="Times New Roman"/>
        <family val="1"/>
      </rPr>
      <t>tot</t>
    </r>
  </si>
  <si>
    <r>
      <t>Cost of Storage Recommendation (C</t>
    </r>
    <r>
      <rPr>
        <sz val="8"/>
        <color indexed="8"/>
        <rFont val="Times New Roman"/>
        <family val="1"/>
      </rPr>
      <t>Rec</t>
    </r>
    <r>
      <rPr>
        <sz val="12"/>
        <color indexed="8"/>
        <rFont val="Times New Roman"/>
        <family val="1"/>
      </rPr>
      <t>)
C</t>
    </r>
    <r>
      <rPr>
        <sz val="8"/>
        <color indexed="8"/>
        <rFont val="Times New Roman"/>
        <family val="1"/>
      </rPr>
      <t>Req</t>
    </r>
    <r>
      <rPr>
        <sz val="12"/>
        <color indexed="8"/>
        <rFont val="Times New Roman"/>
        <family val="1"/>
      </rPr>
      <t>= P x C</t>
    </r>
    <r>
      <rPr>
        <sz val="8"/>
        <color indexed="8"/>
        <rFont val="Times New Roman"/>
        <family val="1"/>
      </rPr>
      <t>tot</t>
    </r>
  </si>
  <si>
    <r>
      <t>Percent of Total Conservation Storage (P)
P = S</t>
    </r>
    <r>
      <rPr>
        <sz val="8"/>
        <color indexed="8"/>
        <rFont val="Times New Roman"/>
        <family val="1"/>
      </rPr>
      <t>Req</t>
    </r>
    <r>
      <rPr>
        <sz val="12"/>
        <color indexed="8"/>
        <rFont val="Times New Roman"/>
        <family val="1"/>
      </rPr>
      <t>/ S</t>
    </r>
    <r>
      <rPr>
        <sz val="8"/>
        <color indexed="8"/>
        <rFont val="Times New Roman"/>
        <family val="1"/>
      </rPr>
      <t>tot</t>
    </r>
  </si>
  <si>
    <r>
      <t>Annual Replacement and Rehabilitation Estimate (R&amp;R</t>
    </r>
    <r>
      <rPr>
        <sz val="8"/>
        <color indexed="8"/>
        <rFont val="Times New Roman"/>
        <family val="1"/>
      </rPr>
      <t>Req</t>
    </r>
    <r>
      <rPr>
        <sz val="12"/>
        <color indexed="8"/>
        <rFont val="Times New Roman"/>
        <family val="1"/>
      </rPr>
      <t>)
R&amp;R</t>
    </r>
    <r>
      <rPr>
        <sz val="8"/>
        <color indexed="8"/>
        <rFont val="Times New Roman"/>
        <family val="1"/>
      </rPr>
      <t xml:space="preserve">Req </t>
    </r>
    <r>
      <rPr>
        <sz val="12"/>
        <color indexed="8"/>
        <rFont val="Times New Roman"/>
        <family val="1"/>
      </rPr>
      <t>= P x R&amp;R</t>
    </r>
    <r>
      <rPr>
        <sz val="8"/>
        <color indexed="8"/>
        <rFont val="Times New Roman"/>
        <family val="1"/>
      </rPr>
      <t>tot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</si>
</sst>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  <numFmt numFmtId="167" formatCode="&quot;$&quot;#,##0"/>
    <numFmt numFmtId="168" formatCode="_(* #,##0.0000_);_(* \(#,##0.0000\);_(* &quot;-&quot;??_);_(@_)"/>
    <numFmt numFmtId="169" formatCode="_(&quot;$&quot;* #,##0_);_(&quot;$&quot;* \(#,##0\);_(&quot;$&quot;* &quot;-&quot;??_);_(@_)"/>
    <numFmt numFmtId="170" formatCode="&quot;$&quot;#,##0.00"/>
    <numFmt numFmtId="171" formatCode="0.0000"/>
    <numFmt numFmtId="172" formatCode="0.000%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FF0000"/>
      <name val="Arial"/>
      <family val="2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sz val="12"/>
      <name val="Times New Roman"/>
      <family val="1"/>
      <charset val="204"/>
    </font>
    <font>
      <b/>
      <sz val="24"/>
      <name val="Arial"/>
      <family val="2"/>
    </font>
    <font>
      <b/>
      <sz val="12"/>
      <name val="Arial"/>
      <family val="2"/>
    </font>
    <font>
      <b/>
      <sz val="16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34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5" fontId="2" fillId="0" borderId="5" xfId="1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1" applyNumberFormat="1" applyFont="1"/>
    <xf numFmtId="167" fontId="5" fillId="0" borderId="0" xfId="1" applyNumberFormat="1" applyFont="1" applyBorder="1" applyAlignment="1">
      <alignment horizontal="center" vertical="center"/>
    </xf>
    <xf numFmtId="166" fontId="0" fillId="0" borderId="6" xfId="1" applyNumberFormat="1" applyFont="1" applyBorder="1"/>
    <xf numFmtId="167" fontId="5" fillId="0" borderId="6" xfId="1" applyNumberFormat="1" applyFont="1" applyBorder="1" applyAlignment="1">
      <alignment horizontal="center" vertical="center"/>
    </xf>
    <xf numFmtId="166" fontId="0" fillId="0" borderId="7" xfId="1" applyNumberFormat="1" applyFont="1" applyBorder="1"/>
    <xf numFmtId="0" fontId="0" fillId="0" borderId="0" xfId="0" applyAlignment="1">
      <alignment horizontal="center" vertical="center" wrapText="1"/>
    </xf>
    <xf numFmtId="167" fontId="0" fillId="0" borderId="0" xfId="0" applyNumberFormat="1"/>
    <xf numFmtId="166" fontId="0" fillId="0" borderId="0" xfId="1" applyNumberFormat="1" applyFont="1" applyBorder="1"/>
    <xf numFmtId="168" fontId="0" fillId="0" borderId="0" xfId="1" applyNumberFormat="1" applyFont="1"/>
    <xf numFmtId="2" fontId="0" fillId="0" borderId="0" xfId="0" applyNumberFormat="1"/>
    <xf numFmtId="0" fontId="6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right" vertical="center" wrapText="1"/>
    </xf>
    <xf numFmtId="167" fontId="7" fillId="0" borderId="9" xfId="0" applyNumberFormat="1" applyFont="1" applyBorder="1" applyAlignment="1">
      <alignment horizontal="right" vertical="center" wrapText="1"/>
    </xf>
    <xf numFmtId="1" fontId="7" fillId="0" borderId="9" xfId="0" applyNumberFormat="1" applyFont="1" applyBorder="1" applyAlignment="1">
      <alignment horizontal="right" vertical="center" wrapText="1"/>
    </xf>
    <xf numFmtId="2" fontId="7" fillId="0" borderId="9" xfId="0" applyNumberFormat="1" applyFont="1" applyBorder="1" applyAlignment="1">
      <alignment horizontal="right" vertical="center" wrapText="1"/>
    </xf>
    <xf numFmtId="167" fontId="7" fillId="0" borderId="10" xfId="0" applyNumberFormat="1" applyFont="1" applyBorder="1"/>
    <xf numFmtId="1" fontId="5" fillId="0" borderId="9" xfId="0" applyNumberFormat="1" applyFont="1" applyBorder="1" applyAlignment="1">
      <alignment horizontal="right" vertical="center" wrapText="1"/>
    </xf>
    <xf numFmtId="167" fontId="7" fillId="0" borderId="9" xfId="1" applyNumberFormat="1" applyFont="1" applyFill="1" applyBorder="1"/>
    <xf numFmtId="2" fontId="5" fillId="0" borderId="9" xfId="0" applyNumberFormat="1" applyFont="1" applyBorder="1" applyAlignment="1">
      <alignment horizontal="right" vertical="center" wrapText="1"/>
    </xf>
    <xf numFmtId="2" fontId="0" fillId="0" borderId="9" xfId="0" applyNumberFormat="1" applyBorder="1"/>
    <xf numFmtId="0" fontId="5" fillId="0" borderId="10" xfId="0" applyFont="1" applyBorder="1" applyAlignment="1">
      <alignment horizontal="right" vertical="center" wrapText="1"/>
    </xf>
    <xf numFmtId="167" fontId="7" fillId="0" borderId="10" xfId="0" applyNumberFormat="1" applyFont="1" applyBorder="1" applyAlignment="1">
      <alignment horizontal="right" vertical="center" wrapText="1"/>
    </xf>
    <xf numFmtId="1" fontId="7" fillId="0" borderId="10" xfId="0" applyNumberFormat="1" applyFont="1" applyBorder="1" applyAlignment="1">
      <alignment horizontal="right" vertical="center" wrapText="1"/>
    </xf>
    <xf numFmtId="1" fontId="5" fillId="0" borderId="10" xfId="0" applyNumberFormat="1" applyFont="1" applyBorder="1" applyAlignment="1">
      <alignment horizontal="right" vertical="center" wrapText="1"/>
    </xf>
    <xf numFmtId="2" fontId="5" fillId="0" borderId="10" xfId="0" applyNumberFormat="1" applyFont="1" applyBorder="1" applyAlignment="1">
      <alignment horizontal="right" vertical="center" wrapText="1"/>
    </xf>
    <xf numFmtId="2" fontId="0" fillId="0" borderId="10" xfId="0" applyNumberFormat="1" applyBorder="1"/>
    <xf numFmtId="3" fontId="7" fillId="0" borderId="10" xfId="0" applyNumberFormat="1" applyFont="1" applyBorder="1"/>
    <xf numFmtId="167" fontId="5" fillId="0" borderId="10" xfId="0" applyNumberFormat="1" applyFont="1" applyBorder="1" applyAlignment="1">
      <alignment horizontal="righ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6" fontId="10" fillId="0" borderId="12" xfId="0" applyNumberFormat="1" applyFont="1" applyBorder="1" applyAlignment="1">
      <alignment vertical="top" wrapText="1"/>
    </xf>
    <xf numFmtId="0" fontId="12" fillId="0" borderId="10" xfId="4" applyFont="1" applyBorder="1" applyAlignment="1">
      <alignment horizontal="left" vertical="center" wrapText="1"/>
    </xf>
    <xf numFmtId="0" fontId="14" fillId="0" borderId="10" xfId="4" applyFont="1" applyBorder="1" applyAlignment="1">
      <alignment horizontal="left" vertical="center" wrapText="1"/>
    </xf>
    <xf numFmtId="167" fontId="14" fillId="0" borderId="10" xfId="4" applyNumberFormat="1" applyFont="1" applyBorder="1" applyAlignment="1">
      <alignment horizontal="center" vertical="center" wrapText="1"/>
    </xf>
    <xf numFmtId="0" fontId="12" fillId="0" borderId="10" xfId="4" applyFont="1" applyBorder="1" applyAlignment="1">
      <alignment horizontal="center" vertical="center" wrapText="1"/>
    </xf>
    <xf numFmtId="0" fontId="14" fillId="0" borderId="10" xfId="4" applyFont="1" applyBorder="1" applyAlignment="1">
      <alignment vertical="center" wrapText="1"/>
    </xf>
    <xf numFmtId="0" fontId="14" fillId="0" borderId="10" xfId="4" applyFont="1" applyBorder="1" applyAlignment="1">
      <alignment horizontal="center" vertical="center" wrapText="1"/>
    </xf>
    <xf numFmtId="170" fontId="14" fillId="0" borderId="10" xfId="4" applyNumberFormat="1" applyFont="1" applyBorder="1" applyAlignment="1">
      <alignment horizontal="right" vertical="center" wrapText="1"/>
    </xf>
    <xf numFmtId="170" fontId="15" fillId="0" borderId="10" xfId="5" applyNumberFormat="1" applyFont="1" applyBorder="1" applyAlignment="1">
      <alignment horizontal="right" vertical="center"/>
    </xf>
    <xf numFmtId="0" fontId="1" fillId="0" borderId="10" xfId="4" applyBorder="1"/>
    <xf numFmtId="0" fontId="12" fillId="0" borderId="10" xfId="4" applyFont="1" applyBorder="1" applyAlignment="1">
      <alignment horizontal="center"/>
    </xf>
    <xf numFmtId="0" fontId="8" fillId="4" borderId="10" xfId="0" applyFont="1" applyFill="1" applyBorder="1" applyAlignment="1">
      <alignment horizontal="left" vertical="top" wrapText="1"/>
    </xf>
    <xf numFmtId="0" fontId="0" fillId="0" borderId="10" xfId="0" applyBorder="1"/>
    <xf numFmtId="169" fontId="8" fillId="4" borderId="10" xfId="2" applyNumberFormat="1" applyFont="1" applyFill="1" applyBorder="1" applyAlignment="1">
      <alignment horizontal="right" wrapText="1"/>
    </xf>
    <xf numFmtId="0" fontId="8" fillId="4" borderId="23" xfId="0" applyFont="1" applyFill="1" applyBorder="1" applyAlignment="1">
      <alignment horizontal="left" vertical="top" wrapText="1"/>
    </xf>
    <xf numFmtId="169" fontId="8" fillId="4" borderId="24" xfId="2" applyNumberFormat="1" applyFont="1" applyFill="1" applyBorder="1" applyAlignment="1">
      <alignment horizontal="right" wrapText="1"/>
    </xf>
    <xf numFmtId="0" fontId="10" fillId="0" borderId="11" xfId="0" applyFont="1" applyBorder="1" applyAlignment="1">
      <alignment horizontal="center" vertical="center" wrapText="1"/>
    </xf>
    <xf numFmtId="0" fontId="8" fillId="4" borderId="31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8" fillId="4" borderId="20" xfId="0" applyFont="1" applyFill="1" applyBorder="1" applyAlignment="1">
      <alignment vertical="top" wrapText="1"/>
    </xf>
    <xf numFmtId="0" fontId="8" fillId="4" borderId="34" xfId="0" applyFont="1" applyFill="1" applyBorder="1" applyAlignment="1">
      <alignment horizontal="left" vertical="top" wrapText="1"/>
    </xf>
    <xf numFmtId="0" fontId="8" fillId="4" borderId="30" xfId="0" applyFont="1" applyFill="1" applyBorder="1" applyAlignment="1">
      <alignment horizontal="left" vertical="top" wrapText="1"/>
    </xf>
    <xf numFmtId="0" fontId="8" fillId="4" borderId="35" xfId="0" applyFont="1" applyFill="1" applyBorder="1" applyAlignment="1">
      <alignment horizontal="left" vertical="top" wrapText="1"/>
    </xf>
    <xf numFmtId="0" fontId="8" fillId="4" borderId="31" xfId="0" applyFont="1" applyFill="1" applyBorder="1" applyAlignment="1">
      <alignment horizontal="left" vertical="top" wrapText="1"/>
    </xf>
    <xf numFmtId="0" fontId="8" fillId="4" borderId="28" xfId="0" applyFont="1" applyFill="1" applyBorder="1" applyAlignment="1">
      <alignment horizontal="left" vertical="top" wrapText="1"/>
    </xf>
    <xf numFmtId="0" fontId="8" fillId="4" borderId="21" xfId="0" applyFont="1" applyFill="1" applyBorder="1" applyAlignment="1">
      <alignment horizontal="left" vertical="top" wrapText="1"/>
    </xf>
    <xf numFmtId="10" fontId="8" fillId="4" borderId="9" xfId="3" applyNumberFormat="1" applyFont="1" applyFill="1" applyBorder="1" applyAlignment="1">
      <alignment horizontal="left" vertical="top" wrapText="1"/>
    </xf>
    <xf numFmtId="172" fontId="8" fillId="4" borderId="9" xfId="0" applyNumberFormat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68" fontId="0" fillId="0" borderId="0" xfId="1" applyNumberFormat="1" applyFont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 wrapText="1"/>
    </xf>
    <xf numFmtId="167" fontId="0" fillId="0" borderId="0" xfId="0" applyNumberFormat="1" applyBorder="1"/>
    <xf numFmtId="10" fontId="8" fillId="4" borderId="13" xfId="3" applyNumberFormat="1" applyFont="1" applyFill="1" applyBorder="1" applyAlignment="1">
      <alignment horizontal="left" vertical="center" wrapText="1"/>
    </xf>
    <xf numFmtId="10" fontId="8" fillId="4" borderId="29" xfId="3" applyNumberFormat="1" applyFont="1" applyFill="1" applyBorder="1" applyAlignment="1">
      <alignment horizontal="left" vertical="center" wrapText="1"/>
    </xf>
    <xf numFmtId="169" fontId="8" fillId="4" borderId="13" xfId="2" applyNumberFormat="1" applyFont="1" applyFill="1" applyBorder="1" applyAlignment="1">
      <alignment horizontal="center" wrapText="1"/>
    </xf>
    <xf numFmtId="169" fontId="8" fillId="4" borderId="29" xfId="2" applyNumberFormat="1" applyFont="1" applyFill="1" applyBorder="1" applyAlignment="1">
      <alignment horizontal="center" wrapText="1"/>
    </xf>
    <xf numFmtId="166" fontId="8" fillId="4" borderId="32" xfId="1" applyNumberFormat="1" applyFont="1" applyFill="1" applyBorder="1" applyAlignment="1">
      <alignment horizontal="center" vertical="center"/>
    </xf>
    <xf numFmtId="166" fontId="8" fillId="4" borderId="33" xfId="1" applyNumberFormat="1" applyFont="1" applyFill="1" applyBorder="1" applyAlignment="1">
      <alignment horizontal="center" vertical="center"/>
    </xf>
    <xf numFmtId="166" fontId="8" fillId="0" borderId="13" xfId="1" applyNumberFormat="1" applyFont="1" applyFill="1" applyBorder="1" applyAlignment="1">
      <alignment horizontal="center" vertical="center"/>
    </xf>
    <xf numFmtId="166" fontId="8" fillId="0" borderId="29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4" borderId="28" xfId="0" applyFont="1" applyFill="1" applyBorder="1" applyAlignment="1">
      <alignment horizontal="left" vertical="top" wrapText="1"/>
    </xf>
    <xf numFmtId="0" fontId="8" fillId="4" borderId="21" xfId="0" applyFont="1" applyFill="1" applyBorder="1" applyAlignment="1">
      <alignment horizontal="left" vertical="top" wrapText="1"/>
    </xf>
    <xf numFmtId="0" fontId="8" fillId="4" borderId="14" xfId="0" applyFont="1" applyFill="1" applyBorder="1" applyAlignment="1">
      <alignment horizontal="left" vertical="top" wrapText="1"/>
    </xf>
    <xf numFmtId="6" fontId="10" fillId="0" borderId="22" xfId="0" applyNumberFormat="1" applyFont="1" applyBorder="1" applyAlignment="1">
      <alignment horizontal="center" wrapText="1"/>
    </xf>
    <xf numFmtId="6" fontId="10" fillId="0" borderId="26" xfId="0" applyNumberFormat="1" applyFont="1" applyBorder="1" applyAlignment="1">
      <alignment horizontal="center" wrapText="1"/>
    </xf>
    <xf numFmtId="6" fontId="10" fillId="0" borderId="27" xfId="0" applyNumberFormat="1" applyFont="1" applyBorder="1" applyAlignment="1">
      <alignment horizontal="center" wrapText="1"/>
    </xf>
    <xf numFmtId="6" fontId="8" fillId="4" borderId="25" xfId="2" applyNumberFormat="1" applyFont="1" applyFill="1" applyBorder="1" applyAlignment="1">
      <alignment horizontal="center" wrapText="1"/>
    </xf>
    <xf numFmtId="6" fontId="8" fillId="4" borderId="9" xfId="2" applyNumberFormat="1" applyFont="1" applyFill="1" applyBorder="1" applyAlignment="1">
      <alignment horizontal="center" wrapText="1"/>
    </xf>
    <xf numFmtId="167" fontId="8" fillId="4" borderId="13" xfId="2" applyNumberFormat="1" applyFont="1" applyFill="1" applyBorder="1" applyAlignment="1">
      <alignment horizontal="right" vertical="center" wrapText="1"/>
    </xf>
    <xf numFmtId="167" fontId="8" fillId="4" borderId="29" xfId="2" applyNumberFormat="1" applyFont="1" applyFill="1" applyBorder="1" applyAlignment="1">
      <alignment horizontal="right" vertical="center" wrapText="1"/>
    </xf>
    <xf numFmtId="167" fontId="8" fillId="4" borderId="13" xfId="2" applyNumberFormat="1" applyFont="1" applyFill="1" applyBorder="1" applyAlignment="1">
      <alignment horizontal="right" vertical="top" wrapText="1"/>
    </xf>
    <xf numFmtId="167" fontId="8" fillId="4" borderId="29" xfId="2" applyNumberFormat="1" applyFont="1" applyFill="1" applyBorder="1" applyAlignment="1">
      <alignment horizontal="right" vertical="top" wrapText="1"/>
    </xf>
    <xf numFmtId="0" fontId="8" fillId="4" borderId="36" xfId="0" applyFont="1" applyFill="1" applyBorder="1" applyAlignment="1">
      <alignment horizontal="left" vertical="top" wrapText="1"/>
    </xf>
    <xf numFmtId="0" fontId="8" fillId="4" borderId="37" xfId="0" applyFont="1" applyFill="1" applyBorder="1" applyAlignment="1">
      <alignment horizontal="left" vertical="top" wrapText="1"/>
    </xf>
    <xf numFmtId="0" fontId="8" fillId="4" borderId="38" xfId="0" applyFont="1" applyFill="1" applyBorder="1" applyAlignment="1">
      <alignment horizontal="left" vertical="top" wrapText="1"/>
    </xf>
    <xf numFmtId="0" fontId="8" fillId="4" borderId="39" xfId="0" applyFont="1" applyFill="1" applyBorder="1" applyAlignment="1">
      <alignment horizontal="left" vertical="top" wrapText="1"/>
    </xf>
    <xf numFmtId="0" fontId="8" fillId="4" borderId="40" xfId="0" applyFont="1" applyFill="1" applyBorder="1" applyAlignment="1">
      <alignment horizontal="left" vertical="top" wrapText="1"/>
    </xf>
    <xf numFmtId="0" fontId="8" fillId="4" borderId="41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1" fillId="0" borderId="13" xfId="4" applyFont="1" applyBorder="1" applyAlignment="1">
      <alignment horizontal="left" vertical="center" wrapText="1"/>
    </xf>
    <xf numFmtId="0" fontId="11" fillId="0" borderId="14" xfId="4" applyFont="1" applyBorder="1" applyAlignment="1">
      <alignment horizontal="left" vertical="center" wrapText="1"/>
    </xf>
    <xf numFmtId="167" fontId="11" fillId="0" borderId="10" xfId="4" applyNumberFormat="1" applyFont="1" applyBorder="1" applyAlignment="1">
      <alignment horizontal="left" vertical="center" wrapText="1"/>
    </xf>
    <xf numFmtId="0" fontId="14" fillId="0" borderId="10" xfId="4" applyFont="1" applyBorder="1" applyAlignment="1">
      <alignment horizontal="left"/>
    </xf>
    <xf numFmtId="171" fontId="12" fillId="0" borderId="10" xfId="4" applyNumberFormat="1" applyFont="1" applyBorder="1" applyAlignment="1">
      <alignment horizontal="center" vertical="center"/>
    </xf>
    <xf numFmtId="0" fontId="14" fillId="8" borderId="10" xfId="4" applyFont="1" applyFill="1" applyBorder="1" applyAlignment="1">
      <alignment horizontal="center" vertical="center" wrapText="1"/>
    </xf>
    <xf numFmtId="0" fontId="12" fillId="0" borderId="13" xfId="4" applyFont="1" applyBorder="1" applyAlignment="1">
      <alignment horizontal="center" vertical="center" wrapText="1"/>
    </xf>
    <xf numFmtId="0" fontId="12" fillId="0" borderId="14" xfId="4" applyFont="1" applyBorder="1" applyAlignment="1">
      <alignment horizontal="center" vertical="center" wrapText="1"/>
    </xf>
    <xf numFmtId="0" fontId="14" fillId="0" borderId="10" xfId="4" applyFont="1" applyBorder="1" applyAlignment="1">
      <alignment horizontal="left" vertical="center" wrapText="1"/>
    </xf>
    <xf numFmtId="171" fontId="14" fillId="0" borderId="10" xfId="4" applyNumberFormat="1" applyFont="1" applyBorder="1" applyAlignment="1">
      <alignment horizontal="left" vertical="center" wrapText="1"/>
    </xf>
    <xf numFmtId="0" fontId="12" fillId="0" borderId="10" xfId="4" applyFont="1" applyBorder="1" applyAlignment="1">
      <alignment horizontal="left"/>
    </xf>
    <xf numFmtId="43" fontId="14" fillId="0" borderId="10" xfId="5" applyFont="1" applyBorder="1" applyAlignment="1">
      <alignment horizontal="left"/>
    </xf>
    <xf numFmtId="167" fontId="12" fillId="0" borderId="10" xfId="5" applyNumberFormat="1" applyFont="1" applyBorder="1" applyAlignment="1">
      <alignment horizontal="center" vertical="center"/>
    </xf>
    <xf numFmtId="0" fontId="14" fillId="8" borderId="10" xfId="4" applyFont="1" applyFill="1" applyBorder="1" applyAlignment="1">
      <alignment horizontal="center"/>
    </xf>
    <xf numFmtId="167" fontId="12" fillId="0" borderId="10" xfId="5" applyNumberFormat="1" applyFont="1" applyFill="1" applyBorder="1" applyAlignment="1">
      <alignment horizontal="center" vertical="center"/>
    </xf>
    <xf numFmtId="6" fontId="12" fillId="0" borderId="10" xfId="4" applyNumberFormat="1" applyFont="1" applyBorder="1" applyAlignment="1">
      <alignment horizontal="center" vertical="center" wrapText="1"/>
    </xf>
    <xf numFmtId="0" fontId="14" fillId="0" borderId="15" xfId="4" applyFont="1" applyBorder="1" applyAlignment="1">
      <alignment horizontal="center"/>
    </xf>
    <xf numFmtId="0" fontId="14" fillId="0" borderId="16" xfId="4" applyFont="1" applyBorder="1" applyAlignment="1">
      <alignment horizontal="center"/>
    </xf>
    <xf numFmtId="0" fontId="14" fillId="0" borderId="17" xfId="4" applyFont="1" applyBorder="1" applyAlignment="1">
      <alignment horizontal="center"/>
    </xf>
    <xf numFmtId="0" fontId="14" fillId="0" borderId="18" xfId="4" applyFont="1" applyBorder="1" applyAlignment="1">
      <alignment horizontal="center"/>
    </xf>
    <xf numFmtId="0" fontId="14" fillId="0" borderId="19" xfId="4" applyFont="1" applyBorder="1" applyAlignment="1">
      <alignment horizontal="center"/>
    </xf>
    <xf numFmtId="0" fontId="14" fillId="0" borderId="20" xfId="4" applyFont="1" applyBorder="1" applyAlignment="1">
      <alignment horizontal="center"/>
    </xf>
    <xf numFmtId="0" fontId="12" fillId="0" borderId="21" xfId="4" applyFont="1" applyBorder="1" applyAlignment="1">
      <alignment horizontal="center" vertical="center" wrapText="1"/>
    </xf>
    <xf numFmtId="167" fontId="12" fillId="0" borderId="13" xfId="5" applyNumberFormat="1" applyFont="1" applyBorder="1" applyAlignment="1">
      <alignment horizontal="center" vertical="center"/>
    </xf>
    <xf numFmtId="167" fontId="12" fillId="0" borderId="14" xfId="5" applyNumberFormat="1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 wrapText="1"/>
    </xf>
    <xf numFmtId="0" fontId="13" fillId="5" borderId="10" xfId="4" applyFont="1" applyFill="1" applyBorder="1" applyAlignment="1">
      <alignment horizontal="left"/>
    </xf>
    <xf numFmtId="0" fontId="13" fillId="6" borderId="10" xfId="4" applyFont="1" applyFill="1" applyBorder="1" applyAlignment="1">
      <alignment horizontal="left"/>
    </xf>
    <xf numFmtId="2" fontId="13" fillId="7" borderId="13" xfId="4" applyNumberFormat="1" applyFont="1" applyFill="1" applyBorder="1" applyAlignment="1">
      <alignment horizontal="left" vertical="center" wrapText="1"/>
    </xf>
    <xf numFmtId="2" fontId="13" fillId="7" borderId="14" xfId="4" applyNumberFormat="1" applyFont="1" applyFill="1" applyBorder="1" applyAlignment="1">
      <alignment horizontal="left" vertical="center" wrapText="1"/>
    </xf>
  </cellXfs>
  <cellStyles count="6">
    <cellStyle name="Comma" xfId="1" builtinId="3"/>
    <cellStyle name="Comma 2" xfId="5" xr:uid="{C5428FB9-EA8A-49E0-9CBF-21CDD957A025}"/>
    <cellStyle name="Currency" xfId="2" builtinId="4"/>
    <cellStyle name="Normal" xfId="0" builtinId="0"/>
    <cellStyle name="Normal 2" xfId="4" xr:uid="{79F9F84C-5485-443B-881D-46ABE647A43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4541-802D-4620-A33D-8B29EF5C08B1}">
  <dimension ref="B1:F20"/>
  <sheetViews>
    <sheetView tabSelected="1" workbookViewId="0">
      <selection activeCell="I6" sqref="I6"/>
    </sheetView>
  </sheetViews>
  <sheetFormatPr defaultRowHeight="15" x14ac:dyDescent="0.25"/>
  <cols>
    <col min="2" max="2" width="39.7109375" customWidth="1"/>
    <col min="3" max="3" width="9.5703125" customWidth="1"/>
    <col min="4" max="4" width="8" bestFit="1" customWidth="1"/>
    <col min="5" max="5" width="14.85546875" customWidth="1"/>
    <col min="6" max="6" width="19.28515625" customWidth="1"/>
  </cols>
  <sheetData>
    <row r="1" spans="2:6" ht="15.75" thickBot="1" x14ac:dyDescent="0.3"/>
    <row r="2" spans="2:6" ht="15.75" x14ac:dyDescent="0.25">
      <c r="B2" s="113" t="s">
        <v>110</v>
      </c>
      <c r="C2" s="114"/>
      <c r="D2" s="115"/>
      <c r="E2" s="88">
        <f>'Storage Capacity'!D14</f>
        <v>558853</v>
      </c>
      <c r="F2" s="89"/>
    </row>
    <row r="3" spans="2:6" ht="15.75" x14ac:dyDescent="0.25">
      <c r="B3" s="98" t="s">
        <v>62</v>
      </c>
      <c r="C3" s="99"/>
      <c r="D3" s="100"/>
      <c r="E3" s="90">
        <v>33872</v>
      </c>
      <c r="F3" s="91"/>
    </row>
    <row r="4" spans="2:6" ht="30.75" customHeight="1" x14ac:dyDescent="0.25">
      <c r="B4" s="98" t="s">
        <v>117</v>
      </c>
      <c r="C4" s="99"/>
      <c r="D4" s="100"/>
      <c r="E4" s="84">
        <f>E3/E2</f>
        <v>6.0609856259159385E-2</v>
      </c>
      <c r="F4" s="85"/>
    </row>
    <row r="5" spans="2:6" ht="15.75" customHeight="1" x14ac:dyDescent="0.25">
      <c r="B5" s="98" t="s">
        <v>111</v>
      </c>
      <c r="C5" s="99"/>
      <c r="D5" s="100"/>
      <c r="E5" s="108">
        <f>'Updated Storage Costs'!N9</f>
        <v>325944284.15399641</v>
      </c>
      <c r="F5" s="109"/>
    </row>
    <row r="6" spans="2:6" ht="31.5" customHeight="1" x14ac:dyDescent="0.25">
      <c r="B6" s="98" t="s">
        <v>116</v>
      </c>
      <c r="C6" s="99"/>
      <c r="D6" s="100"/>
      <c r="E6" s="106">
        <f>E5*E4</f>
        <v>19755436.211068325</v>
      </c>
      <c r="F6" s="107"/>
    </row>
    <row r="7" spans="2:6" ht="15.75" customHeight="1" x14ac:dyDescent="0.25">
      <c r="B7" s="98" t="s">
        <v>63</v>
      </c>
      <c r="C7" s="99"/>
      <c r="D7" s="100"/>
      <c r="E7" s="61" t="s">
        <v>108</v>
      </c>
      <c r="F7" s="47" t="s">
        <v>64</v>
      </c>
    </row>
    <row r="8" spans="2:6" ht="15.75" x14ac:dyDescent="0.25">
      <c r="B8" s="70" t="s">
        <v>104</v>
      </c>
      <c r="C8" s="92"/>
      <c r="D8" s="93"/>
      <c r="E8" s="104">
        <f>-PMT(0.02875,30,E6)</f>
        <v>991690.48481787473</v>
      </c>
      <c r="F8" s="101">
        <f>-PMT(0.0275,50,E6)</f>
        <v>731759.52240895387</v>
      </c>
    </row>
    <row r="9" spans="2:6" ht="15.75" x14ac:dyDescent="0.25">
      <c r="B9" s="71" t="s">
        <v>105</v>
      </c>
      <c r="C9" s="94"/>
      <c r="D9" s="95"/>
      <c r="E9" s="104"/>
      <c r="F9" s="102"/>
    </row>
    <row r="10" spans="2:6" ht="15.75" x14ac:dyDescent="0.25">
      <c r="B10" s="71" t="s">
        <v>106</v>
      </c>
      <c r="C10" s="94"/>
      <c r="D10" s="95"/>
      <c r="E10" s="104"/>
      <c r="F10" s="102"/>
    </row>
    <row r="11" spans="2:6" ht="15.75" x14ac:dyDescent="0.25">
      <c r="B11" s="72" t="s">
        <v>107</v>
      </c>
      <c r="C11" s="96"/>
      <c r="D11" s="97"/>
      <c r="E11" s="104"/>
      <c r="F11" s="102"/>
    </row>
    <row r="12" spans="2:6" ht="15.75" x14ac:dyDescent="0.25">
      <c r="B12" s="69" t="s">
        <v>114</v>
      </c>
      <c r="C12" s="75">
        <v>2.75E-2</v>
      </c>
      <c r="D12" s="76">
        <f>C12+0.00125</f>
        <v>2.8750000000000001E-2</v>
      </c>
      <c r="E12" s="104"/>
      <c r="F12" s="102"/>
    </row>
    <row r="13" spans="2:6" ht="15.75" x14ac:dyDescent="0.25">
      <c r="B13" s="63" t="s">
        <v>113</v>
      </c>
      <c r="C13" s="60">
        <v>30</v>
      </c>
      <c r="D13" s="60">
        <v>50</v>
      </c>
      <c r="E13" s="104"/>
      <c r="F13" s="102"/>
    </row>
    <row r="14" spans="2:6" ht="16.5" customHeight="1" x14ac:dyDescent="0.25">
      <c r="B14" s="66"/>
      <c r="C14" s="67"/>
      <c r="D14" s="68"/>
      <c r="E14" s="105"/>
      <c r="F14" s="103"/>
    </row>
    <row r="15" spans="2:6" ht="15.75" customHeight="1" x14ac:dyDescent="0.25">
      <c r="B15" s="98" t="s">
        <v>109</v>
      </c>
      <c r="C15" s="99"/>
      <c r="D15" s="100"/>
      <c r="E15" s="86">
        <f>'Joint Costs O&amp;M'!K47*1000</f>
        <v>929187.77274583501</v>
      </c>
      <c r="F15" s="87"/>
    </row>
    <row r="16" spans="2:6" ht="34.5" customHeight="1" x14ac:dyDescent="0.25">
      <c r="B16" s="98" t="s">
        <v>115</v>
      </c>
      <c r="C16" s="99"/>
      <c r="D16" s="100"/>
      <c r="E16" s="86">
        <f>E15*E4</f>
        <v>56317.937343893514</v>
      </c>
      <c r="F16" s="87"/>
    </row>
    <row r="17" spans="2:6" ht="15.75" x14ac:dyDescent="0.25">
      <c r="B17" s="98" t="s">
        <v>112</v>
      </c>
      <c r="C17" s="99"/>
      <c r="D17" s="100"/>
      <c r="E17" s="62">
        <f>'RR&amp;R and Mitigation'!D59</f>
        <v>1113248.359372796</v>
      </c>
      <c r="F17" s="65" t="s">
        <v>65</v>
      </c>
    </row>
    <row r="18" spans="2:6" ht="32.25" customHeight="1" x14ac:dyDescent="0.25">
      <c r="B18" s="98" t="s">
        <v>118</v>
      </c>
      <c r="C18" s="99"/>
      <c r="D18" s="100"/>
      <c r="E18" s="62">
        <f>E17*E4</f>
        <v>67473.823042330172</v>
      </c>
      <c r="F18" s="48" t="s">
        <v>65</v>
      </c>
    </row>
    <row r="19" spans="2:6" ht="15.75" x14ac:dyDescent="0.25">
      <c r="B19" s="73"/>
      <c r="C19" s="74"/>
      <c r="D19" s="74"/>
      <c r="E19" s="61" t="s">
        <v>108</v>
      </c>
      <c r="F19" s="47" t="s">
        <v>64</v>
      </c>
    </row>
    <row r="20" spans="2:6" ht="16.5" customHeight="1" thickBot="1" x14ac:dyDescent="0.3">
      <c r="B20" s="110" t="s">
        <v>66</v>
      </c>
      <c r="C20" s="111"/>
      <c r="D20" s="112"/>
      <c r="E20" s="64">
        <f>E16+E8+E18</f>
        <v>1115482.2452040983</v>
      </c>
      <c r="F20" s="49">
        <f>F8+E16</f>
        <v>788077.45975284744</v>
      </c>
    </row>
  </sheetData>
  <mergeCells count="21">
    <mergeCell ref="B2:D2"/>
    <mergeCell ref="B3:D3"/>
    <mergeCell ref="B20:D20"/>
    <mergeCell ref="B18:D18"/>
    <mergeCell ref="B17:D17"/>
    <mergeCell ref="B7:D7"/>
    <mergeCell ref="B5:D5"/>
    <mergeCell ref="B6:D6"/>
    <mergeCell ref="C8:D11"/>
    <mergeCell ref="B16:D16"/>
    <mergeCell ref="B15:D15"/>
    <mergeCell ref="B4:D4"/>
    <mergeCell ref="F8:F14"/>
    <mergeCell ref="E8:E14"/>
    <mergeCell ref="E6:F6"/>
    <mergeCell ref="E5:F5"/>
    <mergeCell ref="E4:F4"/>
    <mergeCell ref="E16:F16"/>
    <mergeCell ref="E15:F15"/>
    <mergeCell ref="E2:F2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78AF-A093-43FC-8C6E-483DD5960EDB}">
  <dimension ref="A2:K64"/>
  <sheetViews>
    <sheetView topLeftCell="A27" workbookViewId="0">
      <selection activeCell="C21" sqref="C21"/>
    </sheetView>
  </sheetViews>
  <sheetFormatPr defaultRowHeight="15" x14ac:dyDescent="0.25"/>
  <cols>
    <col min="1" max="1" width="42.140625" bestFit="1" customWidth="1"/>
    <col min="2" max="2" width="21.7109375" bestFit="1" customWidth="1"/>
    <col min="3" max="3" width="12.5703125" bestFit="1" customWidth="1"/>
    <col min="4" max="4" width="51.28515625" bestFit="1" customWidth="1"/>
    <col min="7" max="7" width="17.140625" customWidth="1"/>
    <col min="8" max="9" width="12.5703125" bestFit="1" customWidth="1"/>
    <col min="11" max="11" width="38.42578125" customWidth="1"/>
  </cols>
  <sheetData>
    <row r="2" spans="1:4" x14ac:dyDescent="0.25">
      <c r="A2" t="s">
        <v>0</v>
      </c>
    </row>
    <row r="3" spans="1:4" ht="15.75" thickBot="1" x14ac:dyDescent="0.3"/>
    <row r="4" spans="1:4" ht="15.75" thickBot="1" x14ac:dyDescent="0.3">
      <c r="A4" s="1"/>
      <c r="B4" s="2" t="s">
        <v>1</v>
      </c>
      <c r="C4" s="116" t="s">
        <v>2</v>
      </c>
      <c r="D4" s="117"/>
    </row>
    <row r="5" spans="1:4" ht="15.75" thickBot="1" x14ac:dyDescent="0.3">
      <c r="A5" s="3" t="s">
        <v>3</v>
      </c>
      <c r="B5" s="4"/>
      <c r="C5" s="5" t="s">
        <v>4</v>
      </c>
      <c r="D5" s="5">
        <v>2011</v>
      </c>
    </row>
    <row r="6" spans="1:4" ht="15.75" thickBot="1" x14ac:dyDescent="0.3">
      <c r="A6" s="6" t="s">
        <v>5</v>
      </c>
      <c r="B6" s="4">
        <v>860</v>
      </c>
      <c r="C6" s="7">
        <v>670050</v>
      </c>
      <c r="D6" s="7">
        <v>626859</v>
      </c>
    </row>
    <row r="7" spans="1:4" ht="15.75" thickBot="1" x14ac:dyDescent="0.3">
      <c r="A7" s="6" t="s">
        <v>6</v>
      </c>
      <c r="B7" s="4">
        <v>840</v>
      </c>
      <c r="C7" s="7">
        <v>367470</v>
      </c>
      <c r="D7" s="7">
        <v>338253</v>
      </c>
    </row>
    <row r="8" spans="1:4" ht="15.75" thickBot="1" x14ac:dyDescent="0.3">
      <c r="A8" s="6" t="s">
        <v>7</v>
      </c>
      <c r="B8" s="4">
        <v>823</v>
      </c>
      <c r="C8" s="7">
        <v>202770</v>
      </c>
      <c r="D8" s="7">
        <v>181644</v>
      </c>
    </row>
    <row r="9" spans="1:4" ht="15.75" thickBot="1" x14ac:dyDescent="0.3">
      <c r="A9" s="6" t="s">
        <v>8</v>
      </c>
      <c r="B9" s="4">
        <v>800</v>
      </c>
      <c r="C9" s="7">
        <v>82890</v>
      </c>
      <c r="D9" s="7">
        <v>68006</v>
      </c>
    </row>
    <row r="10" spans="1:4" ht="15.75" thickBot="1" x14ac:dyDescent="0.3">
      <c r="A10" s="12"/>
      <c r="B10" s="13"/>
      <c r="C10" s="14"/>
      <c r="D10" s="14"/>
    </row>
    <row r="11" spans="1:4" ht="15.75" thickBot="1" x14ac:dyDescent="0.3">
      <c r="A11" s="6" t="s">
        <v>9</v>
      </c>
      <c r="B11" s="4" t="s">
        <v>10</v>
      </c>
      <c r="C11" s="8">
        <v>284580</v>
      </c>
      <c r="D11" s="8">
        <v>270247</v>
      </c>
    </row>
    <row r="12" spans="1:4" ht="15.75" thickBot="1" x14ac:dyDescent="0.3">
      <c r="A12" s="6" t="s">
        <v>11</v>
      </c>
      <c r="B12" s="4" t="s">
        <v>12</v>
      </c>
      <c r="C12" s="8">
        <v>119880</v>
      </c>
      <c r="D12" s="8">
        <v>113637</v>
      </c>
    </row>
    <row r="13" spans="1:4" ht="15.75" thickBot="1" x14ac:dyDescent="0.3">
      <c r="A13" s="6" t="s">
        <v>15</v>
      </c>
      <c r="B13" s="4" t="s">
        <v>16</v>
      </c>
      <c r="C13" s="8">
        <f>C6-C7</f>
        <v>302580</v>
      </c>
      <c r="D13" s="8">
        <f>D6-D7</f>
        <v>288606</v>
      </c>
    </row>
    <row r="14" spans="1:4" ht="15.75" thickBot="1" x14ac:dyDescent="0.3">
      <c r="A14" s="9" t="s">
        <v>13</v>
      </c>
      <c r="B14" s="10" t="s">
        <v>14</v>
      </c>
      <c r="C14" s="11">
        <v>587160</v>
      </c>
      <c r="D14" s="11">
        <v>558853</v>
      </c>
    </row>
    <row r="18" spans="1:11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78"/>
      <c r="B20" s="77"/>
      <c r="C20" s="78"/>
      <c r="D20" s="77"/>
      <c r="E20" s="77"/>
      <c r="F20" s="79"/>
      <c r="G20" s="79"/>
      <c r="H20" s="79"/>
      <c r="I20" s="79"/>
      <c r="J20" s="79"/>
      <c r="K20" s="79"/>
    </row>
    <row r="21" spans="1:11" x14ac:dyDescent="0.25">
      <c r="A21" s="78"/>
      <c r="B21" s="77"/>
      <c r="C21" s="78"/>
      <c r="D21" s="77"/>
      <c r="E21" s="77"/>
      <c r="F21" s="26"/>
      <c r="G21" s="80"/>
      <c r="H21" s="26"/>
      <c r="I21" s="26"/>
      <c r="J21" s="20"/>
      <c r="K21" s="20"/>
    </row>
    <row r="22" spans="1:11" x14ac:dyDescent="0.25">
      <c r="A22" s="78"/>
      <c r="B22" s="77"/>
      <c r="C22" s="78"/>
      <c r="D22" s="77"/>
      <c r="E22" s="77"/>
      <c r="F22" s="26"/>
      <c r="G22" s="80"/>
      <c r="H22" s="26"/>
      <c r="I22" s="26"/>
      <c r="J22" s="20"/>
      <c r="K22" s="20"/>
    </row>
    <row r="23" spans="1:11" x14ac:dyDescent="0.25">
      <c r="A23" s="78"/>
      <c r="B23" s="77"/>
      <c r="C23" s="78"/>
      <c r="D23" s="77"/>
      <c r="E23" s="77"/>
      <c r="F23" s="26"/>
      <c r="G23" s="80"/>
      <c r="H23" s="26"/>
      <c r="I23" s="26"/>
      <c r="J23" s="20"/>
      <c r="K23" s="20"/>
    </row>
    <row r="24" spans="1:11" x14ac:dyDescent="0.25">
      <c r="A24" s="78"/>
      <c r="B24" s="77"/>
      <c r="C24" s="78"/>
      <c r="D24" s="77"/>
      <c r="E24" s="77"/>
      <c r="F24" s="26"/>
      <c r="G24" s="80"/>
      <c r="H24" s="26"/>
      <c r="I24" s="26"/>
      <c r="J24" s="20"/>
      <c r="K24" s="20"/>
    </row>
    <row r="25" spans="1:11" x14ac:dyDescent="0.25">
      <c r="A25" s="78"/>
      <c r="B25" s="77"/>
      <c r="C25" s="78"/>
      <c r="D25" s="77"/>
      <c r="E25" s="77"/>
      <c r="F25" s="26"/>
      <c r="G25" s="80"/>
      <c r="H25" s="26"/>
      <c r="I25" s="26"/>
      <c r="J25" s="20"/>
      <c r="K25" s="20"/>
    </row>
    <row r="26" spans="1:11" x14ac:dyDescent="0.25">
      <c r="A26" s="78"/>
      <c r="B26" s="77"/>
      <c r="C26" s="78"/>
      <c r="D26" s="77"/>
      <c r="E26" s="77"/>
      <c r="F26" s="26"/>
      <c r="G26" s="80"/>
      <c r="H26" s="26"/>
      <c r="I26" s="26"/>
      <c r="J26" s="20"/>
      <c r="K26" s="20"/>
    </row>
    <row r="27" spans="1:11" x14ac:dyDescent="0.25">
      <c r="A27" s="78"/>
      <c r="B27" s="77"/>
      <c r="C27" s="78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78"/>
      <c r="B28" s="77"/>
      <c r="C28" s="78"/>
      <c r="D28" s="77"/>
      <c r="E28" s="77"/>
      <c r="F28" s="77"/>
      <c r="G28" s="80"/>
      <c r="H28" s="26"/>
      <c r="I28" s="26"/>
      <c r="J28" s="20"/>
      <c r="K28" s="20"/>
    </row>
    <row r="29" spans="1:11" x14ac:dyDescent="0.25">
      <c r="A29" s="78"/>
      <c r="B29" s="77"/>
      <c r="C29" s="78"/>
      <c r="D29" s="77"/>
      <c r="E29" s="77"/>
      <c r="F29" s="77"/>
      <c r="G29" s="80"/>
      <c r="H29" s="26"/>
      <c r="I29" s="26"/>
      <c r="J29" s="20"/>
      <c r="K29" s="20"/>
    </row>
    <row r="30" spans="1:11" x14ac:dyDescent="0.25">
      <c r="A30" s="78"/>
      <c r="B30" s="77"/>
      <c r="C30" s="78"/>
      <c r="D30" s="77"/>
      <c r="E30" s="77"/>
      <c r="F30" s="77"/>
      <c r="G30" s="80"/>
      <c r="H30" s="26"/>
      <c r="I30" s="26"/>
      <c r="J30" s="20"/>
      <c r="K30" s="20"/>
    </row>
    <row r="31" spans="1:11" x14ac:dyDescent="0.25">
      <c r="A31" s="78"/>
      <c r="B31" s="77"/>
      <c r="C31" s="78"/>
      <c r="D31" s="77"/>
      <c r="E31" s="77"/>
      <c r="F31" s="77"/>
      <c r="G31" s="80"/>
      <c r="H31" s="26"/>
      <c r="I31" s="26"/>
      <c r="J31" s="20"/>
      <c r="K31" s="20"/>
    </row>
    <row r="32" spans="1:11" x14ac:dyDescent="0.25">
      <c r="A32" s="78"/>
      <c r="B32" s="77"/>
      <c r="C32" s="78"/>
      <c r="D32" s="77"/>
      <c r="E32" s="77"/>
      <c r="F32" s="77"/>
      <c r="G32" s="80"/>
      <c r="H32" s="26"/>
      <c r="I32" s="26"/>
      <c r="J32" s="20"/>
      <c r="K32" s="20"/>
    </row>
    <row r="33" spans="1:11" x14ac:dyDescent="0.25">
      <c r="A33" s="78"/>
      <c r="B33" s="77"/>
      <c r="C33" s="78"/>
      <c r="D33" s="77"/>
      <c r="E33" s="77"/>
      <c r="F33" s="26"/>
      <c r="G33" s="80"/>
      <c r="H33" s="26"/>
      <c r="I33" s="26"/>
      <c r="J33" s="20"/>
      <c r="K33" s="20"/>
    </row>
    <row r="34" spans="1:11" x14ac:dyDescent="0.25">
      <c r="A34" s="78"/>
      <c r="B34" s="77"/>
      <c r="C34" s="78"/>
      <c r="D34" s="77"/>
      <c r="E34" s="77"/>
      <c r="F34" s="77"/>
      <c r="G34" s="77"/>
      <c r="H34" s="77"/>
      <c r="I34" s="77"/>
      <c r="J34" s="77"/>
      <c r="K34" s="77"/>
    </row>
    <row r="35" spans="1:11" x14ac:dyDescent="0.25">
      <c r="A35" s="78"/>
      <c r="B35" s="77"/>
      <c r="C35" s="78"/>
      <c r="D35" s="77"/>
      <c r="E35" s="77"/>
      <c r="F35" s="77"/>
      <c r="G35" s="80"/>
      <c r="H35" s="26"/>
      <c r="I35" s="26"/>
      <c r="J35" s="20"/>
      <c r="K35" s="20"/>
    </row>
    <row r="36" spans="1:11" x14ac:dyDescent="0.25">
      <c r="A36" s="78"/>
      <c r="B36" s="77"/>
      <c r="C36" s="78"/>
      <c r="D36" s="77"/>
      <c r="E36" s="77"/>
      <c r="F36" s="77"/>
      <c r="G36" s="80"/>
      <c r="H36" s="26"/>
      <c r="I36" s="26"/>
      <c r="J36" s="20"/>
      <c r="K36" s="20"/>
    </row>
    <row r="37" spans="1:11" x14ac:dyDescent="0.25">
      <c r="A37" s="78"/>
      <c r="B37" s="77"/>
      <c r="C37" s="78"/>
      <c r="D37" s="77"/>
      <c r="E37" s="77"/>
      <c r="F37" s="77"/>
      <c r="G37" s="80"/>
      <c r="H37" s="26"/>
      <c r="I37" s="26"/>
      <c r="J37" s="20"/>
      <c r="K37" s="20"/>
    </row>
    <row r="38" spans="1:11" x14ac:dyDescent="0.25">
      <c r="A38" s="78"/>
      <c r="B38" s="77"/>
      <c r="C38" s="78"/>
      <c r="D38" s="77"/>
      <c r="E38" s="77"/>
      <c r="F38" s="77"/>
      <c r="G38" s="80"/>
      <c r="H38" s="26"/>
      <c r="I38" s="26"/>
      <c r="J38" s="20"/>
      <c r="K38" s="20"/>
    </row>
    <row r="39" spans="1:11" x14ac:dyDescent="0.25">
      <c r="A39" s="78"/>
      <c r="B39" s="77"/>
      <c r="C39" s="78"/>
      <c r="D39" s="77"/>
      <c r="E39" s="77"/>
      <c r="F39" s="77"/>
      <c r="G39" s="80"/>
      <c r="H39" s="26"/>
      <c r="I39" s="26"/>
      <c r="J39" s="20"/>
      <c r="K39" s="20"/>
    </row>
    <row r="40" spans="1:11" x14ac:dyDescent="0.25">
      <c r="A40" s="78"/>
      <c r="B40" s="77"/>
      <c r="C40" s="78"/>
      <c r="D40" s="77"/>
      <c r="E40" s="77"/>
      <c r="F40" s="26"/>
      <c r="G40" s="80"/>
      <c r="H40" s="26"/>
      <c r="I40" s="26"/>
      <c r="J40" s="20"/>
      <c r="K40" s="20"/>
    </row>
    <row r="41" spans="1:11" x14ac:dyDescent="0.25">
      <c r="A41" s="78"/>
      <c r="B41" s="77"/>
      <c r="C41" s="78"/>
      <c r="D41" s="77"/>
      <c r="E41" s="77"/>
      <c r="F41" s="77"/>
      <c r="G41" s="77"/>
      <c r="H41" s="77"/>
      <c r="I41" s="77"/>
      <c r="J41" s="77"/>
      <c r="K41" s="77"/>
    </row>
    <row r="42" spans="1:11" x14ac:dyDescent="0.25">
      <c r="A42" s="78"/>
      <c r="B42" s="77"/>
      <c r="C42" s="78"/>
      <c r="D42" s="77"/>
      <c r="E42" s="77"/>
      <c r="F42" s="77"/>
      <c r="G42" s="80"/>
      <c r="H42" s="26"/>
      <c r="I42" s="26"/>
      <c r="J42" s="20"/>
      <c r="K42" s="20"/>
    </row>
    <row r="43" spans="1:11" x14ac:dyDescent="0.25">
      <c r="A43" s="78"/>
      <c r="B43" s="77"/>
      <c r="C43" s="78"/>
      <c r="D43" s="77"/>
      <c r="E43" s="77"/>
      <c r="F43" s="77"/>
      <c r="G43" s="80"/>
      <c r="H43" s="26"/>
      <c r="I43" s="26"/>
      <c r="J43" s="20"/>
      <c r="K43" s="20"/>
    </row>
    <row r="44" spans="1:11" x14ac:dyDescent="0.25">
      <c r="A44" s="78"/>
      <c r="B44" s="77"/>
      <c r="C44" s="78"/>
      <c r="D44" s="77"/>
      <c r="E44" s="77"/>
      <c r="F44" s="77"/>
      <c r="G44" s="80"/>
      <c r="H44" s="26"/>
      <c r="I44" s="26"/>
      <c r="J44" s="20"/>
      <c r="K44" s="20"/>
    </row>
    <row r="45" spans="1:11" x14ac:dyDescent="0.25">
      <c r="A45" s="78"/>
      <c r="B45" s="77"/>
      <c r="C45" s="78"/>
      <c r="D45" s="77"/>
      <c r="E45" s="77"/>
      <c r="F45" s="77"/>
      <c r="G45" s="80"/>
      <c r="H45" s="26"/>
      <c r="I45" s="26"/>
      <c r="J45" s="20"/>
      <c r="K45" s="20"/>
    </row>
    <row r="46" spans="1:11" x14ac:dyDescent="0.25">
      <c r="A46" s="78"/>
      <c r="B46" s="77"/>
      <c r="C46" s="78"/>
      <c r="D46" s="77"/>
      <c r="E46" s="77"/>
      <c r="F46" s="77"/>
      <c r="G46" s="80"/>
      <c r="H46" s="26"/>
      <c r="I46" s="26"/>
      <c r="J46" s="20"/>
      <c r="K46" s="20"/>
    </row>
    <row r="47" spans="1:11" x14ac:dyDescent="0.25">
      <c r="A47" s="78"/>
      <c r="B47" s="77"/>
      <c r="C47" s="78"/>
      <c r="D47" s="77"/>
      <c r="E47" s="77"/>
      <c r="F47" s="26"/>
      <c r="G47" s="80"/>
      <c r="H47" s="26"/>
      <c r="I47" s="26"/>
      <c r="J47" s="20"/>
      <c r="K47" s="20"/>
    </row>
    <row r="48" spans="1:11" x14ac:dyDescent="0.25">
      <c r="A48" s="78"/>
      <c r="B48" s="77"/>
      <c r="C48" s="78"/>
      <c r="D48" s="77"/>
      <c r="E48" s="77"/>
      <c r="F48" s="77"/>
      <c r="G48" s="77"/>
      <c r="H48" s="77"/>
      <c r="I48" s="77"/>
      <c r="J48" s="77"/>
      <c r="K48" s="77"/>
    </row>
    <row r="49" spans="1:11" x14ac:dyDescent="0.25">
      <c r="A49" s="78"/>
      <c r="B49" s="77"/>
      <c r="C49" s="78"/>
      <c r="D49" s="77"/>
      <c r="E49" s="77"/>
      <c r="F49" s="77"/>
      <c r="G49" s="80"/>
      <c r="H49" s="26"/>
      <c r="I49" s="26"/>
      <c r="J49" s="20"/>
      <c r="K49" s="20"/>
    </row>
    <row r="50" spans="1:11" x14ac:dyDescent="0.25">
      <c r="A50" s="78"/>
      <c r="B50" s="77"/>
      <c r="C50" s="78"/>
      <c r="D50" s="77"/>
      <c r="E50" s="77"/>
      <c r="F50" s="77"/>
      <c r="G50" s="80"/>
      <c r="H50" s="26"/>
      <c r="I50" s="26"/>
      <c r="J50" s="20"/>
      <c r="K50" s="20"/>
    </row>
    <row r="51" spans="1:11" x14ac:dyDescent="0.25">
      <c r="A51" s="78"/>
      <c r="B51" s="77"/>
      <c r="C51" s="78"/>
      <c r="D51" s="77"/>
      <c r="E51" s="77"/>
      <c r="F51" s="77"/>
      <c r="G51" s="80"/>
      <c r="H51" s="26"/>
      <c r="I51" s="26"/>
      <c r="J51" s="20"/>
      <c r="K51" s="20"/>
    </row>
    <row r="52" spans="1:11" x14ac:dyDescent="0.25">
      <c r="A52" s="78"/>
      <c r="B52" s="77"/>
      <c r="C52" s="78"/>
      <c r="D52" s="77"/>
      <c r="E52" s="77"/>
      <c r="F52" s="77"/>
      <c r="G52" s="80"/>
      <c r="H52" s="26"/>
      <c r="I52" s="26"/>
      <c r="J52" s="20"/>
      <c r="K52" s="20"/>
    </row>
    <row r="53" spans="1:11" x14ac:dyDescent="0.25">
      <c r="A53" s="78"/>
      <c r="B53" s="77"/>
      <c r="C53" s="78"/>
      <c r="D53" s="77"/>
      <c r="E53" s="77"/>
      <c r="F53" s="77"/>
      <c r="G53" s="80"/>
      <c r="H53" s="26"/>
      <c r="I53" s="26"/>
      <c r="J53" s="20"/>
      <c r="K53" s="20"/>
    </row>
    <row r="54" spans="1:11" x14ac:dyDescent="0.25">
      <c r="A54" s="78"/>
      <c r="B54" s="77"/>
      <c r="C54" s="78"/>
      <c r="D54" s="77"/>
      <c r="E54" s="77"/>
      <c r="F54" s="26"/>
      <c r="G54" s="80"/>
      <c r="H54" s="26"/>
      <c r="I54" s="26"/>
      <c r="J54" s="20"/>
      <c r="K54" s="20"/>
    </row>
    <row r="55" spans="1:11" x14ac:dyDescent="0.25">
      <c r="A55" s="78"/>
      <c r="B55" s="77"/>
      <c r="C55" s="78"/>
      <c r="D55" s="77"/>
      <c r="E55" s="77"/>
      <c r="F55" s="77"/>
      <c r="G55" s="77"/>
      <c r="H55" s="77"/>
      <c r="I55" s="77"/>
      <c r="J55" s="77"/>
      <c r="K55" s="77"/>
    </row>
    <row r="56" spans="1:11" x14ac:dyDescent="0.25">
      <c r="A56" s="78"/>
      <c r="B56" s="77"/>
      <c r="C56" s="78"/>
      <c r="D56" s="77"/>
      <c r="E56" s="81"/>
      <c r="F56" s="26"/>
      <c r="G56" s="80"/>
      <c r="H56" s="26"/>
      <c r="I56" s="26"/>
      <c r="J56" s="20"/>
      <c r="K56" s="20"/>
    </row>
    <row r="57" spans="1:11" x14ac:dyDescent="0.25">
      <c r="A57" s="78"/>
      <c r="B57" s="77"/>
      <c r="C57" s="78"/>
      <c r="D57" s="77"/>
      <c r="E57" s="81"/>
      <c r="F57" s="26"/>
      <c r="G57" s="80"/>
      <c r="H57" s="26"/>
      <c r="I57" s="26"/>
      <c r="J57" s="20"/>
      <c r="K57" s="20"/>
    </row>
    <row r="58" spans="1:11" x14ac:dyDescent="0.25">
      <c r="A58" s="78"/>
      <c r="B58" s="77"/>
      <c r="C58" s="78"/>
      <c r="D58" s="77"/>
      <c r="E58" s="81"/>
      <c r="F58" s="26"/>
      <c r="G58" s="80"/>
      <c r="H58" s="26"/>
      <c r="I58" s="26"/>
      <c r="J58" s="20"/>
      <c r="K58" s="20"/>
    </row>
    <row r="59" spans="1:11" x14ac:dyDescent="0.25">
      <c r="A59" s="78"/>
      <c r="B59" s="77"/>
      <c r="C59" s="78"/>
      <c r="D59" s="77"/>
      <c r="E59" s="81"/>
      <c r="F59" s="26"/>
      <c r="G59" s="80"/>
      <c r="H59" s="26"/>
      <c r="I59" s="26"/>
      <c r="J59" s="20"/>
      <c r="K59" s="20"/>
    </row>
    <row r="60" spans="1:11" x14ac:dyDescent="0.25">
      <c r="A60" s="78"/>
      <c r="B60" s="77"/>
      <c r="C60" s="78"/>
      <c r="D60" s="77"/>
      <c r="E60" s="81"/>
      <c r="F60" s="26"/>
      <c r="G60" s="80"/>
      <c r="H60" s="26"/>
      <c r="I60" s="26"/>
      <c r="J60" s="20"/>
      <c r="K60" s="20"/>
    </row>
    <row r="61" spans="1:11" x14ac:dyDescent="0.25">
      <c r="A61" s="78"/>
      <c r="B61" s="77"/>
      <c r="C61" s="78"/>
      <c r="D61" s="77"/>
      <c r="E61" s="77"/>
      <c r="F61" s="26"/>
      <c r="G61" s="80"/>
      <c r="H61" s="26"/>
      <c r="I61" s="26"/>
      <c r="J61" s="20"/>
      <c r="K61" s="20"/>
    </row>
    <row r="62" spans="1:11" x14ac:dyDescent="0.25">
      <c r="A62" s="78"/>
      <c r="B62" s="77"/>
      <c r="C62" s="78"/>
      <c r="D62" s="77"/>
      <c r="E62" s="77"/>
      <c r="F62" s="77"/>
      <c r="G62" s="77"/>
      <c r="H62" s="77"/>
      <c r="I62" s="77"/>
      <c r="J62" s="77"/>
      <c r="K62" s="77"/>
    </row>
    <row r="63" spans="1:11" x14ac:dyDescent="0.25">
      <c r="A63" s="78"/>
      <c r="B63" s="77"/>
      <c r="C63" s="78"/>
      <c r="D63" s="77"/>
      <c r="E63" s="77"/>
      <c r="F63" s="77"/>
      <c r="G63" s="77"/>
      <c r="H63" s="77"/>
      <c r="I63" s="77"/>
      <c r="J63" s="77"/>
      <c r="K63" s="82"/>
    </row>
    <row r="64" spans="1:11" x14ac:dyDescent="0.25">
      <c r="A64" s="78"/>
      <c r="B64" s="77"/>
      <c r="C64" s="78"/>
      <c r="D64" s="77"/>
      <c r="E64" s="77"/>
      <c r="F64" s="77"/>
      <c r="G64" s="77"/>
      <c r="H64" s="77"/>
      <c r="I64" s="77"/>
      <c r="J64" s="77"/>
      <c r="K64" s="83"/>
    </row>
  </sheetData>
  <mergeCells count="1"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F002-97AA-4C45-8FB8-A3A9A5A7610F}">
  <dimension ref="A1:K47"/>
  <sheetViews>
    <sheetView topLeftCell="A27" workbookViewId="0">
      <selection activeCell="K48" sqref="K48"/>
    </sheetView>
  </sheetViews>
  <sheetFormatPr defaultRowHeight="15" x14ac:dyDescent="0.25"/>
  <cols>
    <col min="7" max="7" width="16.28515625" customWidth="1"/>
    <col min="11" max="11" width="33.28515625" customWidth="1"/>
  </cols>
  <sheetData>
    <row r="1" spans="1:11" x14ac:dyDescent="0.25">
      <c r="A1" t="s">
        <v>17</v>
      </c>
    </row>
    <row r="3" spans="1:11" ht="30" x14ac:dyDescent="0.25">
      <c r="A3" s="15" t="s">
        <v>18</v>
      </c>
      <c r="B3" s="16" t="s">
        <v>19</v>
      </c>
      <c r="C3" s="15"/>
      <c r="D3" s="16" t="s">
        <v>20</v>
      </c>
      <c r="E3" s="16" t="s">
        <v>21</v>
      </c>
      <c r="F3" s="17" t="s">
        <v>22</v>
      </c>
      <c r="G3" s="17" t="s">
        <v>39</v>
      </c>
      <c r="H3" s="17" t="s">
        <v>40</v>
      </c>
      <c r="I3" s="17" t="s">
        <v>41</v>
      </c>
      <c r="J3" s="17" t="s">
        <v>23</v>
      </c>
      <c r="K3" s="17" t="s">
        <v>24</v>
      </c>
    </row>
    <row r="4" spans="1:11" x14ac:dyDescent="0.25">
      <c r="A4" s="18" t="s">
        <v>25</v>
      </c>
      <c r="B4" t="s">
        <v>26</v>
      </c>
      <c r="C4" s="18" t="s">
        <v>27</v>
      </c>
      <c r="D4" t="s">
        <v>30</v>
      </c>
      <c r="E4">
        <v>60410</v>
      </c>
      <c r="F4" s="19">
        <v>778</v>
      </c>
      <c r="G4" s="27">
        <v>2.75E-2</v>
      </c>
      <c r="H4" s="19">
        <v>2019</v>
      </c>
      <c r="I4" s="19" t="str">
        <f>A4</f>
        <v>2019</v>
      </c>
      <c r="J4" s="20">
        <f t="shared" ref="J4:J9" si="0">PV(G4,I4-H4,,-F4)</f>
        <v>778</v>
      </c>
      <c r="K4" s="20"/>
    </row>
    <row r="5" spans="1:11" x14ac:dyDescent="0.25">
      <c r="A5" s="18" t="s">
        <v>25</v>
      </c>
      <c r="B5" t="s">
        <v>26</v>
      </c>
      <c r="C5" s="18" t="s">
        <v>27</v>
      </c>
      <c r="D5" t="s">
        <v>32</v>
      </c>
      <c r="E5">
        <v>60641</v>
      </c>
      <c r="F5" s="21">
        <v>100</v>
      </c>
      <c r="G5" s="27">
        <v>2.75E-2</v>
      </c>
      <c r="H5" s="19">
        <v>2019</v>
      </c>
      <c r="I5" s="19" t="str">
        <f t="shared" ref="I5:I8" si="1">A5</f>
        <v>2019</v>
      </c>
      <c r="J5" s="20">
        <f t="shared" si="0"/>
        <v>100</v>
      </c>
      <c r="K5" s="20"/>
    </row>
    <row r="6" spans="1:11" x14ac:dyDescent="0.25">
      <c r="A6" s="18" t="s">
        <v>25</v>
      </c>
      <c r="B6" t="s">
        <v>26</v>
      </c>
      <c r="C6" s="18" t="s">
        <v>27</v>
      </c>
      <c r="D6" t="s">
        <v>29</v>
      </c>
      <c r="E6">
        <v>61410</v>
      </c>
      <c r="F6" s="19">
        <v>79</v>
      </c>
      <c r="G6" s="27">
        <v>2.75E-2</v>
      </c>
      <c r="H6" s="19">
        <v>2019</v>
      </c>
      <c r="I6" s="19" t="str">
        <f t="shared" si="1"/>
        <v>2019</v>
      </c>
      <c r="J6" s="20">
        <f t="shared" si="0"/>
        <v>79</v>
      </c>
      <c r="K6" s="20"/>
    </row>
    <row r="7" spans="1:11" x14ac:dyDescent="0.25">
      <c r="A7" s="18" t="s">
        <v>25</v>
      </c>
      <c r="B7" t="s">
        <v>26</v>
      </c>
      <c r="C7" s="18" t="s">
        <v>27</v>
      </c>
      <c r="D7" t="s">
        <v>28</v>
      </c>
      <c r="E7">
        <v>60610</v>
      </c>
      <c r="F7" s="19">
        <v>445</v>
      </c>
      <c r="G7" s="27">
        <v>2.75E-2</v>
      </c>
      <c r="H7" s="19">
        <v>2019</v>
      </c>
      <c r="I7" s="19" t="str">
        <f t="shared" si="1"/>
        <v>2019</v>
      </c>
      <c r="J7" s="20">
        <f t="shared" si="0"/>
        <v>445</v>
      </c>
      <c r="K7" s="20"/>
    </row>
    <row r="8" spans="1:11" x14ac:dyDescent="0.25">
      <c r="A8" s="18" t="s">
        <v>25</v>
      </c>
      <c r="B8" t="s">
        <v>26</v>
      </c>
      <c r="C8" s="18" t="s">
        <v>27</v>
      </c>
      <c r="D8" t="s">
        <v>31</v>
      </c>
      <c r="E8">
        <v>61610</v>
      </c>
      <c r="F8" s="19">
        <v>478</v>
      </c>
      <c r="G8" s="27">
        <v>2.75E-2</v>
      </c>
      <c r="H8" s="19">
        <v>2019</v>
      </c>
      <c r="I8" s="19" t="str">
        <f t="shared" si="1"/>
        <v>2019</v>
      </c>
      <c r="J8" s="20">
        <f t="shared" si="0"/>
        <v>478</v>
      </c>
      <c r="K8" s="22"/>
    </row>
    <row r="9" spans="1:11" x14ac:dyDescent="0.25">
      <c r="A9" s="18"/>
      <c r="C9" s="18"/>
      <c r="F9" s="19">
        <f>SUM(F4:F8)</f>
        <v>1880</v>
      </c>
      <c r="G9" s="27">
        <v>2.75E-2</v>
      </c>
      <c r="H9" s="19">
        <f>H8</f>
        <v>2019</v>
      </c>
      <c r="I9" s="19" t="str">
        <f>I8</f>
        <v>2019</v>
      </c>
      <c r="J9" s="20">
        <f t="shared" si="0"/>
        <v>1880</v>
      </c>
      <c r="K9" s="20">
        <f>SUM(J8,J7)</f>
        <v>923</v>
      </c>
    </row>
    <row r="10" spans="1:11" x14ac:dyDescent="0.25">
      <c r="A10" s="15" t="s">
        <v>18</v>
      </c>
      <c r="B10" s="16" t="s">
        <v>19</v>
      </c>
      <c r="C10" s="15"/>
      <c r="D10" s="16" t="s">
        <v>20</v>
      </c>
      <c r="E10" s="16" t="s">
        <v>21</v>
      </c>
      <c r="F10" s="16" t="s">
        <v>33</v>
      </c>
      <c r="G10" s="16"/>
      <c r="H10" s="16"/>
      <c r="I10" s="16"/>
      <c r="J10" s="16"/>
      <c r="K10" s="16"/>
    </row>
    <row r="11" spans="1:11" x14ac:dyDescent="0.25">
      <c r="A11" s="18" t="s">
        <v>34</v>
      </c>
      <c r="B11" t="s">
        <v>26</v>
      </c>
      <c r="C11" s="18" t="s">
        <v>27</v>
      </c>
      <c r="D11" t="s">
        <v>30</v>
      </c>
      <c r="E11">
        <v>60410</v>
      </c>
      <c r="F11">
        <v>802</v>
      </c>
      <c r="G11" s="27">
        <v>2.75E-2</v>
      </c>
      <c r="H11" s="19">
        <v>2019</v>
      </c>
      <c r="I11" s="19" t="str">
        <f>A11</f>
        <v>2020</v>
      </c>
      <c r="J11" s="20">
        <f>PV(G11,I11-H11,,-F11)</f>
        <v>780.53527980535273</v>
      </c>
      <c r="K11" s="20"/>
    </row>
    <row r="12" spans="1:11" x14ac:dyDescent="0.25">
      <c r="A12" s="18" t="s">
        <v>34</v>
      </c>
      <c r="B12" t="s">
        <v>26</v>
      </c>
      <c r="C12" s="18" t="s">
        <v>27</v>
      </c>
      <c r="D12" t="s">
        <v>32</v>
      </c>
      <c r="E12">
        <v>60641</v>
      </c>
      <c r="F12">
        <v>100</v>
      </c>
      <c r="G12" s="27">
        <v>2.75E-2</v>
      </c>
      <c r="H12" s="19">
        <v>2019</v>
      </c>
      <c r="I12" s="19" t="str">
        <f t="shared" ref="I12:I15" si="2">A12</f>
        <v>2020</v>
      </c>
      <c r="J12" s="20">
        <f t="shared" ref="J12:J16" si="3">PV(G12,I12-H12,,-F12)</f>
        <v>97.323600973235997</v>
      </c>
      <c r="K12" s="20"/>
    </row>
    <row r="13" spans="1:11" x14ac:dyDescent="0.25">
      <c r="A13" s="18" t="s">
        <v>34</v>
      </c>
      <c r="B13" t="s">
        <v>26</v>
      </c>
      <c r="C13" s="18" t="s">
        <v>27</v>
      </c>
      <c r="D13" t="s">
        <v>29</v>
      </c>
      <c r="E13">
        <v>61410</v>
      </c>
      <c r="F13">
        <v>81</v>
      </c>
      <c r="G13" s="27">
        <v>2.75E-2</v>
      </c>
      <c r="H13" s="19">
        <v>2019</v>
      </c>
      <c r="I13" s="19" t="str">
        <f t="shared" si="2"/>
        <v>2020</v>
      </c>
      <c r="J13" s="20">
        <f t="shared" si="3"/>
        <v>78.832116788321159</v>
      </c>
      <c r="K13" s="20"/>
    </row>
    <row r="14" spans="1:11" x14ac:dyDescent="0.25">
      <c r="A14" s="18" t="s">
        <v>34</v>
      </c>
      <c r="B14" t="s">
        <v>26</v>
      </c>
      <c r="C14" s="18" t="s">
        <v>27</v>
      </c>
      <c r="D14" t="s">
        <v>28</v>
      </c>
      <c r="E14">
        <v>60610</v>
      </c>
      <c r="F14">
        <v>458</v>
      </c>
      <c r="G14" s="27">
        <v>2.75E-2</v>
      </c>
      <c r="H14" s="19">
        <v>2019</v>
      </c>
      <c r="I14" s="19" t="str">
        <f t="shared" si="2"/>
        <v>2020</v>
      </c>
      <c r="J14" s="20">
        <f t="shared" si="3"/>
        <v>445.74209245742088</v>
      </c>
      <c r="K14" s="20"/>
    </row>
    <row r="15" spans="1:11" x14ac:dyDescent="0.25">
      <c r="A15" s="18" t="s">
        <v>34</v>
      </c>
      <c r="B15" t="s">
        <v>26</v>
      </c>
      <c r="C15" s="18" t="s">
        <v>27</v>
      </c>
      <c r="D15" t="s">
        <v>31</v>
      </c>
      <c r="E15">
        <v>61610</v>
      </c>
      <c r="F15" s="16">
        <v>493</v>
      </c>
      <c r="G15" s="27">
        <v>2.75E-2</v>
      </c>
      <c r="H15" s="19">
        <v>2019</v>
      </c>
      <c r="I15" s="19" t="str">
        <f t="shared" si="2"/>
        <v>2020</v>
      </c>
      <c r="J15" s="20">
        <f t="shared" si="3"/>
        <v>479.80535279805349</v>
      </c>
      <c r="K15" s="22"/>
    </row>
    <row r="16" spans="1:11" x14ac:dyDescent="0.25">
      <c r="A16" s="18"/>
      <c r="C16" s="18"/>
      <c r="F16" s="19">
        <f>SUM(F11:F15)</f>
        <v>1934</v>
      </c>
      <c r="G16" s="27">
        <v>2.75E-2</v>
      </c>
      <c r="H16" s="19">
        <v>2019</v>
      </c>
      <c r="I16" s="19" t="str">
        <f>I15</f>
        <v>2020</v>
      </c>
      <c r="J16" s="20">
        <f t="shared" si="3"/>
        <v>1882.2384428223843</v>
      </c>
      <c r="K16" s="20">
        <f>SUM(J14:J15)</f>
        <v>925.54744525547437</v>
      </c>
    </row>
    <row r="17" spans="1:11" x14ac:dyDescent="0.25">
      <c r="A17" s="15" t="s">
        <v>18</v>
      </c>
      <c r="B17" s="16" t="s">
        <v>19</v>
      </c>
      <c r="C17" s="15"/>
      <c r="D17" s="16" t="s">
        <v>20</v>
      </c>
      <c r="E17" s="16" t="s">
        <v>21</v>
      </c>
      <c r="F17" s="16" t="s">
        <v>33</v>
      </c>
      <c r="G17" s="16"/>
      <c r="H17" s="16"/>
      <c r="I17" s="16"/>
      <c r="J17" s="16"/>
      <c r="K17" s="16"/>
    </row>
    <row r="18" spans="1:11" x14ac:dyDescent="0.25">
      <c r="A18" s="18" t="s">
        <v>35</v>
      </c>
      <c r="B18" t="s">
        <v>26</v>
      </c>
      <c r="C18" s="18" t="s">
        <v>27</v>
      </c>
      <c r="D18" t="s">
        <v>30</v>
      </c>
      <c r="E18">
        <v>60410</v>
      </c>
      <c r="F18">
        <v>826</v>
      </c>
      <c r="G18" s="27">
        <v>2.75E-2</v>
      </c>
      <c r="H18" s="19">
        <v>2019</v>
      </c>
      <c r="I18" s="19" t="str">
        <f>A18</f>
        <v>2021</v>
      </c>
      <c r="J18" s="20">
        <f>PV(G18,I18-H18,,-F18)</f>
        <v>782.37756110844703</v>
      </c>
      <c r="K18" s="20"/>
    </row>
    <row r="19" spans="1:11" x14ac:dyDescent="0.25">
      <c r="A19" s="18" t="s">
        <v>35</v>
      </c>
      <c r="B19" t="s">
        <v>26</v>
      </c>
      <c r="C19" s="18" t="s">
        <v>27</v>
      </c>
      <c r="D19" t="s">
        <v>32</v>
      </c>
      <c r="E19">
        <v>60641</v>
      </c>
      <c r="F19">
        <v>100</v>
      </c>
      <c r="G19" s="27">
        <v>2.75E-2</v>
      </c>
      <c r="H19" s="19">
        <v>2019</v>
      </c>
      <c r="I19" s="19" t="str">
        <f t="shared" ref="I19:I22" si="4">A19</f>
        <v>2021</v>
      </c>
      <c r="J19" s="20">
        <f t="shared" ref="J19:J23" si="5">PV(G19,I19-H19,,-F19)</f>
        <v>94.718833063976632</v>
      </c>
      <c r="K19" s="20"/>
    </row>
    <row r="20" spans="1:11" x14ac:dyDescent="0.25">
      <c r="A20" s="18" t="s">
        <v>35</v>
      </c>
      <c r="B20" t="s">
        <v>26</v>
      </c>
      <c r="C20" s="18" t="s">
        <v>27</v>
      </c>
      <c r="D20" t="s">
        <v>29</v>
      </c>
      <c r="E20">
        <v>61410</v>
      </c>
      <c r="F20">
        <v>83</v>
      </c>
      <c r="G20" s="27">
        <v>2.75E-2</v>
      </c>
      <c r="H20" s="19">
        <v>2019</v>
      </c>
      <c r="I20" s="19" t="str">
        <f t="shared" si="4"/>
        <v>2021</v>
      </c>
      <c r="J20" s="20">
        <f t="shared" si="5"/>
        <v>78.616631443100601</v>
      </c>
      <c r="K20" s="20"/>
    </row>
    <row r="21" spans="1:11" x14ac:dyDescent="0.25">
      <c r="A21" s="18" t="s">
        <v>35</v>
      </c>
      <c r="B21" t="s">
        <v>26</v>
      </c>
      <c r="C21" s="18" t="s">
        <v>27</v>
      </c>
      <c r="D21" t="s">
        <v>28</v>
      </c>
      <c r="E21">
        <v>60610</v>
      </c>
      <c r="F21">
        <v>472</v>
      </c>
      <c r="G21" s="27">
        <v>2.75E-2</v>
      </c>
      <c r="H21" s="19">
        <v>2019</v>
      </c>
      <c r="I21" s="19" t="str">
        <f t="shared" si="4"/>
        <v>2021</v>
      </c>
      <c r="J21" s="20">
        <f t="shared" si="5"/>
        <v>447.0728920619697</v>
      </c>
      <c r="K21" s="20"/>
    </row>
    <row r="22" spans="1:11" x14ac:dyDescent="0.25">
      <c r="A22" s="18" t="s">
        <v>35</v>
      </c>
      <c r="B22" t="s">
        <v>26</v>
      </c>
      <c r="C22" s="18" t="s">
        <v>27</v>
      </c>
      <c r="D22" t="s">
        <v>31</v>
      </c>
      <c r="E22">
        <v>61610</v>
      </c>
      <c r="F22" s="16">
        <v>508</v>
      </c>
      <c r="G22" s="27">
        <v>2.75E-2</v>
      </c>
      <c r="H22" s="19">
        <v>2019</v>
      </c>
      <c r="I22" s="19" t="str">
        <f t="shared" si="4"/>
        <v>2021</v>
      </c>
      <c r="J22" s="20">
        <f t="shared" si="5"/>
        <v>481.17167196500134</v>
      </c>
      <c r="K22" s="22"/>
    </row>
    <row r="23" spans="1:11" x14ac:dyDescent="0.25">
      <c r="A23" s="18"/>
      <c r="C23" s="18"/>
      <c r="F23" s="19">
        <f>SUM(F18:F22)</f>
        <v>1989</v>
      </c>
      <c r="G23" s="27">
        <v>2.75E-2</v>
      </c>
      <c r="H23" s="19">
        <v>2019</v>
      </c>
      <c r="I23" s="19" t="str">
        <f>I22</f>
        <v>2021</v>
      </c>
      <c r="J23" s="20">
        <f t="shared" si="5"/>
        <v>1883.9575896424953</v>
      </c>
      <c r="K23" s="20">
        <f>SUM(J21:J22)</f>
        <v>928.24456402697103</v>
      </c>
    </row>
    <row r="24" spans="1:11" x14ac:dyDescent="0.25">
      <c r="A24" s="15" t="s">
        <v>18</v>
      </c>
      <c r="B24" s="16" t="s">
        <v>19</v>
      </c>
      <c r="C24" s="15"/>
      <c r="D24" s="16" t="s">
        <v>20</v>
      </c>
      <c r="E24" s="16" t="s">
        <v>21</v>
      </c>
      <c r="F24" s="16" t="s">
        <v>33</v>
      </c>
      <c r="G24" s="16"/>
      <c r="H24" s="16"/>
      <c r="I24" s="16"/>
      <c r="J24" s="16"/>
      <c r="K24" s="16"/>
    </row>
    <row r="25" spans="1:11" x14ac:dyDescent="0.25">
      <c r="A25" s="18" t="s">
        <v>36</v>
      </c>
      <c r="B25" t="s">
        <v>26</v>
      </c>
      <c r="C25" s="18" t="s">
        <v>27</v>
      </c>
      <c r="D25" t="s">
        <v>30</v>
      </c>
      <c r="E25">
        <v>60410</v>
      </c>
      <c r="F25">
        <v>851</v>
      </c>
      <c r="G25" s="27">
        <v>2.75E-2</v>
      </c>
      <c r="H25" s="19">
        <v>2019</v>
      </c>
      <c r="I25" s="19" t="str">
        <f>A25</f>
        <v>2022</v>
      </c>
      <c r="J25" s="20">
        <f>PV(G25,I25-H25,,-F25)</f>
        <v>784.48396046174321</v>
      </c>
      <c r="K25" s="20"/>
    </row>
    <row r="26" spans="1:11" x14ac:dyDescent="0.25">
      <c r="A26" s="18" t="s">
        <v>36</v>
      </c>
      <c r="B26" t="s">
        <v>26</v>
      </c>
      <c r="C26" s="18" t="s">
        <v>27</v>
      </c>
      <c r="D26" t="s">
        <v>32</v>
      </c>
      <c r="E26">
        <v>60641</v>
      </c>
      <c r="F26">
        <v>100</v>
      </c>
      <c r="G26" s="27">
        <v>2.75E-2</v>
      </c>
      <c r="H26" s="19">
        <v>2019</v>
      </c>
      <c r="I26" s="19" t="str">
        <f t="shared" ref="I26:I29" si="6">A26</f>
        <v>2022</v>
      </c>
      <c r="J26" s="20">
        <f t="shared" ref="J26:J30" si="7">PV(G26,I26-H26,,-F26)</f>
        <v>92.183779137690152</v>
      </c>
      <c r="K26" s="20"/>
    </row>
    <row r="27" spans="1:11" x14ac:dyDescent="0.25">
      <c r="A27" s="18" t="s">
        <v>36</v>
      </c>
      <c r="B27" t="s">
        <v>26</v>
      </c>
      <c r="C27" s="18" t="s">
        <v>27</v>
      </c>
      <c r="D27" t="s">
        <v>29</v>
      </c>
      <c r="E27">
        <v>61410</v>
      </c>
      <c r="F27">
        <v>86</v>
      </c>
      <c r="G27" s="27">
        <v>2.75E-2</v>
      </c>
      <c r="H27" s="19">
        <v>2019</v>
      </c>
      <c r="I27" s="19" t="str">
        <f t="shared" si="6"/>
        <v>2022</v>
      </c>
      <c r="J27" s="20">
        <f t="shared" si="7"/>
        <v>79.278050058413541</v>
      </c>
      <c r="K27" s="20"/>
    </row>
    <row r="28" spans="1:11" x14ac:dyDescent="0.25">
      <c r="A28" s="18" t="s">
        <v>36</v>
      </c>
      <c r="B28" t="s">
        <v>26</v>
      </c>
      <c r="C28" s="18" t="s">
        <v>27</v>
      </c>
      <c r="D28" t="s">
        <v>28</v>
      </c>
      <c r="E28">
        <v>60610</v>
      </c>
      <c r="F28">
        <v>486</v>
      </c>
      <c r="G28" s="27">
        <v>2.75E-2</v>
      </c>
      <c r="H28" s="19">
        <v>2019</v>
      </c>
      <c r="I28" s="19" t="str">
        <f t="shared" si="6"/>
        <v>2022</v>
      </c>
      <c r="J28" s="20">
        <f t="shared" si="7"/>
        <v>448.01316660917416</v>
      </c>
      <c r="K28" s="20"/>
    </row>
    <row r="29" spans="1:11" x14ac:dyDescent="0.25">
      <c r="A29" s="18" t="s">
        <v>36</v>
      </c>
      <c r="B29" t="s">
        <v>26</v>
      </c>
      <c r="C29" s="18" t="s">
        <v>27</v>
      </c>
      <c r="D29" t="s">
        <v>31</v>
      </c>
      <c r="E29">
        <v>61610</v>
      </c>
      <c r="F29" s="16">
        <v>523</v>
      </c>
      <c r="G29" s="27">
        <v>2.75E-2</v>
      </c>
      <c r="H29" s="19">
        <v>2019</v>
      </c>
      <c r="I29" s="19" t="str">
        <f t="shared" si="6"/>
        <v>2022</v>
      </c>
      <c r="J29" s="20">
        <f t="shared" si="7"/>
        <v>482.12116489011953</v>
      </c>
      <c r="K29" s="22"/>
    </row>
    <row r="30" spans="1:11" x14ac:dyDescent="0.25">
      <c r="A30" s="18"/>
      <c r="C30" s="18"/>
      <c r="F30" s="23">
        <f>SUM(F25:F29)</f>
        <v>2046</v>
      </c>
      <c r="G30" s="27">
        <v>2.75E-2</v>
      </c>
      <c r="H30" s="19">
        <v>2019</v>
      </c>
      <c r="I30" s="19" t="str">
        <f>I29</f>
        <v>2022</v>
      </c>
      <c r="J30" s="20">
        <f t="shared" si="7"/>
        <v>1886.0801211571406</v>
      </c>
      <c r="K30" s="20">
        <f>SUM(J28:J29)</f>
        <v>930.13433149929369</v>
      </c>
    </row>
    <row r="31" spans="1:11" x14ac:dyDescent="0.25">
      <c r="A31" s="15" t="s">
        <v>18</v>
      </c>
      <c r="B31" s="16" t="s">
        <v>19</v>
      </c>
      <c r="C31" s="15"/>
      <c r="D31" s="16" t="s">
        <v>20</v>
      </c>
      <c r="E31" s="16" t="s">
        <v>21</v>
      </c>
      <c r="F31" s="16" t="s">
        <v>33</v>
      </c>
      <c r="G31" s="16"/>
      <c r="H31" s="16"/>
      <c r="I31" s="16"/>
      <c r="J31" s="16"/>
      <c r="K31" s="16"/>
    </row>
    <row r="32" spans="1:11" x14ac:dyDescent="0.25">
      <c r="A32" s="18" t="s">
        <v>37</v>
      </c>
      <c r="B32" t="s">
        <v>26</v>
      </c>
      <c r="C32" s="18" t="s">
        <v>27</v>
      </c>
      <c r="D32" t="s">
        <v>30</v>
      </c>
      <c r="E32">
        <v>60410</v>
      </c>
      <c r="F32">
        <v>876</v>
      </c>
      <c r="G32" s="27">
        <v>2.75E-2</v>
      </c>
      <c r="H32" s="19">
        <v>2019</v>
      </c>
      <c r="I32" s="19" t="str">
        <f>A32</f>
        <v>2023</v>
      </c>
      <c r="J32" s="20">
        <f>PV(G32,I32-H32,,-F32)</f>
        <v>785.91718272132914</v>
      </c>
      <c r="K32" s="20"/>
    </row>
    <row r="33" spans="1:11" x14ac:dyDescent="0.25">
      <c r="A33" s="18" t="s">
        <v>37</v>
      </c>
      <c r="B33" t="s">
        <v>26</v>
      </c>
      <c r="C33" s="18" t="s">
        <v>27</v>
      </c>
      <c r="D33" t="s">
        <v>32</v>
      </c>
      <c r="E33">
        <v>60641</v>
      </c>
      <c r="F33">
        <v>100</v>
      </c>
      <c r="G33" s="27">
        <v>2.75E-2</v>
      </c>
      <c r="H33" s="19">
        <v>2019</v>
      </c>
      <c r="I33" s="19" t="str">
        <f t="shared" ref="I33:I36" si="8">A33</f>
        <v>2023</v>
      </c>
      <c r="J33" s="20">
        <f t="shared" ref="J33:J37" si="9">PV(G33,I33-H33,,-F33)</f>
        <v>89.716573370014743</v>
      </c>
      <c r="K33" s="20"/>
    </row>
    <row r="34" spans="1:11" x14ac:dyDescent="0.25">
      <c r="A34" s="18" t="s">
        <v>37</v>
      </c>
      <c r="B34" t="s">
        <v>26</v>
      </c>
      <c r="C34" s="18" t="s">
        <v>27</v>
      </c>
      <c r="D34" t="s">
        <v>29</v>
      </c>
      <c r="E34">
        <v>61410</v>
      </c>
      <c r="F34">
        <v>88</v>
      </c>
      <c r="G34" s="27">
        <v>2.75E-2</v>
      </c>
      <c r="H34" s="19">
        <v>2019</v>
      </c>
      <c r="I34" s="19" t="str">
        <f t="shared" si="8"/>
        <v>2023</v>
      </c>
      <c r="J34" s="20">
        <f t="shared" si="9"/>
        <v>78.950584565612971</v>
      </c>
      <c r="K34" s="20"/>
    </row>
    <row r="35" spans="1:11" x14ac:dyDescent="0.25">
      <c r="A35" s="18" t="s">
        <v>37</v>
      </c>
      <c r="B35" t="s">
        <v>26</v>
      </c>
      <c r="C35" s="18" t="s">
        <v>27</v>
      </c>
      <c r="D35" t="s">
        <v>28</v>
      </c>
      <c r="E35">
        <v>60610</v>
      </c>
      <c r="F35">
        <v>501</v>
      </c>
      <c r="G35" s="27">
        <v>2.75E-2</v>
      </c>
      <c r="H35" s="19">
        <v>2019</v>
      </c>
      <c r="I35" s="19" t="str">
        <f t="shared" si="8"/>
        <v>2023</v>
      </c>
      <c r="J35" s="20">
        <f t="shared" si="9"/>
        <v>449.48003258377389</v>
      </c>
      <c r="K35" s="20"/>
    </row>
    <row r="36" spans="1:11" x14ac:dyDescent="0.25">
      <c r="A36" s="18" t="s">
        <v>37</v>
      </c>
      <c r="B36" t="s">
        <v>26</v>
      </c>
      <c r="C36" s="18" t="s">
        <v>27</v>
      </c>
      <c r="D36" t="s">
        <v>31</v>
      </c>
      <c r="E36">
        <v>61610</v>
      </c>
      <c r="F36" s="16">
        <v>539</v>
      </c>
      <c r="G36" s="27">
        <v>2.75E-2</v>
      </c>
      <c r="H36" s="19">
        <v>2019</v>
      </c>
      <c r="I36" s="19" t="str">
        <f t="shared" si="8"/>
        <v>2023</v>
      </c>
      <c r="J36" s="20">
        <f t="shared" si="9"/>
        <v>483.57233046437949</v>
      </c>
      <c r="K36" s="22"/>
    </row>
    <row r="37" spans="1:11" x14ac:dyDescent="0.25">
      <c r="A37" s="18"/>
      <c r="C37" s="18"/>
      <c r="F37" s="19">
        <f>SUM(F32:F36)</f>
        <v>2104</v>
      </c>
      <c r="G37" s="27">
        <v>2.75E-2</v>
      </c>
      <c r="H37" s="19">
        <v>2019</v>
      </c>
      <c r="I37" s="19" t="str">
        <f>I36</f>
        <v>2023</v>
      </c>
      <c r="J37" s="20">
        <f t="shared" si="9"/>
        <v>1887.6367037051102</v>
      </c>
      <c r="K37" s="20">
        <f>SUM(J35:J36)</f>
        <v>933.05236304815344</v>
      </c>
    </row>
    <row r="38" spans="1:11" x14ac:dyDescent="0.25">
      <c r="A38" s="15" t="s">
        <v>18</v>
      </c>
      <c r="B38" s="16" t="s">
        <v>19</v>
      </c>
      <c r="C38" s="15"/>
      <c r="D38" s="16" t="s">
        <v>20</v>
      </c>
      <c r="E38" s="16" t="s">
        <v>21</v>
      </c>
      <c r="F38" s="16" t="s">
        <v>33</v>
      </c>
      <c r="G38" s="16"/>
      <c r="H38" s="16"/>
      <c r="I38" s="16"/>
      <c r="J38" s="16"/>
      <c r="K38" s="16"/>
    </row>
    <row r="39" spans="1:11" x14ac:dyDescent="0.25">
      <c r="A39" s="18" t="s">
        <v>38</v>
      </c>
      <c r="B39" t="s">
        <v>26</v>
      </c>
      <c r="C39" s="18" t="s">
        <v>27</v>
      </c>
      <c r="D39" t="s">
        <v>30</v>
      </c>
      <c r="E39" s="28">
        <v>60410</v>
      </c>
      <c r="F39" s="19">
        <v>902</v>
      </c>
      <c r="G39" s="27">
        <v>2.75E-2</v>
      </c>
      <c r="H39" s="19">
        <v>2019</v>
      </c>
      <c r="I39" s="19" t="str">
        <f>A39</f>
        <v>2024</v>
      </c>
      <c r="J39" s="20">
        <f>PV(G39,I39-H39,,-F39)</f>
        <v>787.58490685891275</v>
      </c>
      <c r="K39" s="20"/>
    </row>
    <row r="40" spans="1:11" x14ac:dyDescent="0.25">
      <c r="A40" s="18" t="s">
        <v>38</v>
      </c>
      <c r="B40" t="s">
        <v>26</v>
      </c>
      <c r="C40" s="18" t="s">
        <v>27</v>
      </c>
      <c r="D40" t="s">
        <v>32</v>
      </c>
      <c r="E40" s="28">
        <v>60641</v>
      </c>
      <c r="F40" s="19">
        <v>100</v>
      </c>
      <c r="G40" s="27">
        <v>2.75E-2</v>
      </c>
      <c r="H40" s="19">
        <v>2019</v>
      </c>
      <c r="I40" s="19" t="str">
        <f t="shared" ref="I40:I43" si="10">A40</f>
        <v>2024</v>
      </c>
      <c r="J40" s="20">
        <f t="shared" ref="J40:J44" si="11">PV(G40,I40-H40,,-F40)</f>
        <v>87.315399873493661</v>
      </c>
      <c r="K40" s="20"/>
    </row>
    <row r="41" spans="1:11" x14ac:dyDescent="0.25">
      <c r="A41" s="18" t="s">
        <v>38</v>
      </c>
      <c r="B41" t="s">
        <v>26</v>
      </c>
      <c r="C41" s="18" t="s">
        <v>27</v>
      </c>
      <c r="D41" t="s">
        <v>29</v>
      </c>
      <c r="E41" s="28">
        <v>61410</v>
      </c>
      <c r="F41" s="19">
        <v>91</v>
      </c>
      <c r="G41" s="27">
        <v>2.75E-2</v>
      </c>
      <c r="H41" s="19">
        <v>2019</v>
      </c>
      <c r="I41" s="19" t="str">
        <f t="shared" si="10"/>
        <v>2024</v>
      </c>
      <c r="J41" s="20">
        <f t="shared" si="11"/>
        <v>79.457013884879231</v>
      </c>
      <c r="K41" s="20"/>
    </row>
    <row r="42" spans="1:11" x14ac:dyDescent="0.25">
      <c r="A42" s="18" t="s">
        <v>38</v>
      </c>
      <c r="B42" t="s">
        <v>26</v>
      </c>
      <c r="C42" s="18" t="s">
        <v>27</v>
      </c>
      <c r="D42" t="s">
        <v>28</v>
      </c>
      <c r="E42" s="28">
        <v>60610</v>
      </c>
      <c r="F42" s="19">
        <v>516</v>
      </c>
      <c r="G42" s="27">
        <v>2.75E-2</v>
      </c>
      <c r="H42" s="19">
        <v>2019</v>
      </c>
      <c r="I42" s="19" t="str">
        <f t="shared" si="10"/>
        <v>2024</v>
      </c>
      <c r="J42" s="20">
        <f t="shared" si="11"/>
        <v>450.54746334722728</v>
      </c>
      <c r="K42" s="20"/>
    </row>
    <row r="43" spans="1:11" x14ac:dyDescent="0.25">
      <c r="A43" s="18" t="s">
        <v>38</v>
      </c>
      <c r="B43" t="s">
        <v>26</v>
      </c>
      <c r="C43" s="18" t="s">
        <v>27</v>
      </c>
      <c r="D43" t="s">
        <v>31</v>
      </c>
      <c r="E43" s="28">
        <v>61610</v>
      </c>
      <c r="F43" s="21">
        <v>555</v>
      </c>
      <c r="G43" s="27">
        <v>2.75E-2</v>
      </c>
      <c r="H43" s="19">
        <v>2019</v>
      </c>
      <c r="I43" s="19" t="str">
        <f t="shared" si="10"/>
        <v>2024</v>
      </c>
      <c r="J43" s="20">
        <f t="shared" si="11"/>
        <v>484.60046929788979</v>
      </c>
      <c r="K43" s="22"/>
    </row>
    <row r="44" spans="1:11" x14ac:dyDescent="0.25">
      <c r="A44" s="18"/>
      <c r="C44" s="18"/>
      <c r="F44" s="19">
        <f>SUM(F39:F43)</f>
        <v>2164</v>
      </c>
      <c r="G44" s="27">
        <v>2.75E-2</v>
      </c>
      <c r="H44" s="19">
        <v>2019</v>
      </c>
      <c r="I44" s="19" t="str">
        <f>I43</f>
        <v>2024</v>
      </c>
      <c r="J44" s="20">
        <f t="shared" si="11"/>
        <v>1889.5052532624027</v>
      </c>
      <c r="K44" s="20">
        <f>SUM(J42:J43)</f>
        <v>935.14793264511707</v>
      </c>
    </row>
    <row r="45" spans="1:11" x14ac:dyDescent="0.25">
      <c r="A45" s="18"/>
      <c r="C45" s="18"/>
    </row>
    <row r="46" spans="1:11" x14ac:dyDescent="0.25">
      <c r="A46" s="18"/>
      <c r="C46" s="18"/>
      <c r="K46" s="24" t="s">
        <v>42</v>
      </c>
    </row>
    <row r="47" spans="1:11" x14ac:dyDescent="0.25">
      <c r="A47" s="18"/>
      <c r="C47" s="18"/>
      <c r="K47" s="25">
        <f>AVERAGE(K44,K37,K30,K23,K16,K9)</f>
        <v>929.18777274583499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0D5C-9050-4E03-96E3-CC13AB98F1E0}">
  <dimension ref="A2:N9"/>
  <sheetViews>
    <sheetView workbookViewId="0">
      <selection activeCell="F16" sqref="F16"/>
    </sheetView>
  </sheetViews>
  <sheetFormatPr defaultRowHeight="15" x14ac:dyDescent="0.25"/>
  <cols>
    <col min="1" max="1" width="16" customWidth="1"/>
    <col min="2" max="2" width="19.42578125" customWidth="1"/>
    <col min="5" max="5" width="11" customWidth="1"/>
    <col min="6" max="6" width="16.5703125" customWidth="1"/>
    <col min="10" max="10" width="14.85546875" customWidth="1"/>
    <col min="11" max="11" width="12.7109375" customWidth="1"/>
    <col min="12" max="12" width="11.7109375" customWidth="1"/>
    <col min="13" max="13" width="9.85546875" customWidth="1"/>
    <col min="14" max="14" width="13.28515625" customWidth="1"/>
  </cols>
  <sheetData>
    <row r="2" spans="1:14" ht="51" x14ac:dyDescent="0.25">
      <c r="A2" s="29" t="s">
        <v>43</v>
      </c>
      <c r="B2" s="29" t="s">
        <v>44</v>
      </c>
      <c r="C2" s="29" t="s">
        <v>45</v>
      </c>
      <c r="D2" s="29" t="s">
        <v>46</v>
      </c>
      <c r="E2" s="29" t="s">
        <v>47</v>
      </c>
      <c r="F2" s="29" t="s">
        <v>48</v>
      </c>
      <c r="G2" s="29" t="s">
        <v>46</v>
      </c>
      <c r="H2" s="29" t="s">
        <v>49</v>
      </c>
      <c r="I2" s="29" t="s">
        <v>50</v>
      </c>
      <c r="J2" s="29" t="s">
        <v>51</v>
      </c>
      <c r="K2" s="29" t="s">
        <v>52</v>
      </c>
      <c r="L2" s="29" t="s">
        <v>53</v>
      </c>
      <c r="M2" s="29" t="s">
        <v>54</v>
      </c>
      <c r="N2" s="29" t="s">
        <v>55</v>
      </c>
    </row>
    <row r="3" spans="1:14" ht="25.5" x14ac:dyDescent="0.25">
      <c r="A3" s="30" t="s">
        <v>56</v>
      </c>
      <c r="B3" s="31">
        <v>2010000</v>
      </c>
      <c r="C3" s="32">
        <v>236</v>
      </c>
      <c r="D3" s="32">
        <v>461</v>
      </c>
      <c r="E3" s="33">
        <f>D3/C3</f>
        <v>1.9533898305084745</v>
      </c>
      <c r="F3" s="34">
        <f>E3*B3-3</f>
        <v>3926310.5593220335</v>
      </c>
      <c r="G3" s="32">
        <v>461</v>
      </c>
      <c r="H3" s="35">
        <v>1074</v>
      </c>
      <c r="I3" s="33">
        <f>H3/G3</f>
        <v>2.3297180043383947</v>
      </c>
      <c r="J3" s="35">
        <v>100</v>
      </c>
      <c r="K3" s="36">
        <f>F3*I3-3</f>
        <v>9147193.4006764945</v>
      </c>
      <c r="L3" s="37">
        <v>918.06200000000013</v>
      </c>
      <c r="M3" s="38">
        <f t="shared" ref="M3:M7" si="0">L3/J3</f>
        <v>9.1806200000000011</v>
      </c>
      <c r="N3" s="45">
        <f t="shared" ref="N3:N6" si="1">K3*M3-3</f>
        <v>83976903.678118646</v>
      </c>
    </row>
    <row r="4" spans="1:14" x14ac:dyDescent="0.25">
      <c r="A4" s="39" t="s">
        <v>57</v>
      </c>
      <c r="B4" s="40">
        <v>315200</v>
      </c>
      <c r="C4" s="32">
        <v>236</v>
      </c>
      <c r="D4" s="41">
        <v>461</v>
      </c>
      <c r="E4" s="33">
        <f t="shared" ref="E4:E7" si="2">D4/C4</f>
        <v>1.9533898305084745</v>
      </c>
      <c r="F4" s="34">
        <f t="shared" ref="F4:F7" si="3">E4*B4-3</f>
        <v>615705.47457627114</v>
      </c>
      <c r="G4" s="41">
        <v>461</v>
      </c>
      <c r="H4" s="42">
        <v>1074</v>
      </c>
      <c r="I4" s="33">
        <f t="shared" ref="I4:I7" si="4">H4/G4</f>
        <v>2.3297180043383947</v>
      </c>
      <c r="J4" s="42">
        <v>100</v>
      </c>
      <c r="K4" s="36">
        <f>F4*I4-3</f>
        <v>1434417.1294900547</v>
      </c>
      <c r="L4" s="43">
        <v>938.88</v>
      </c>
      <c r="M4" s="44">
        <f t="shared" si="0"/>
        <v>9.3887999999999998</v>
      </c>
      <c r="N4" s="45">
        <f t="shared" si="1"/>
        <v>13467452.545356225</v>
      </c>
    </row>
    <row r="5" spans="1:14" x14ac:dyDescent="0.25">
      <c r="A5" s="39" t="s">
        <v>58</v>
      </c>
      <c r="B5" s="40">
        <v>4714700</v>
      </c>
      <c r="C5" s="32">
        <v>236</v>
      </c>
      <c r="D5" s="41">
        <v>461</v>
      </c>
      <c r="E5" s="33">
        <f t="shared" si="2"/>
        <v>1.9533898305084745</v>
      </c>
      <c r="F5" s="34">
        <f t="shared" si="3"/>
        <v>9209644.0338983051</v>
      </c>
      <c r="G5" s="41">
        <v>461</v>
      </c>
      <c r="H5" s="42">
        <v>1074</v>
      </c>
      <c r="I5" s="33">
        <f t="shared" si="4"/>
        <v>2.3297180043383947</v>
      </c>
      <c r="J5" s="42">
        <v>100</v>
      </c>
      <c r="K5" s="36">
        <f t="shared" ref="K5:K7" si="5">F5*I5-3</f>
        <v>21455870.519320562</v>
      </c>
      <c r="L5" s="43">
        <v>919.97</v>
      </c>
      <c r="M5" s="44">
        <f t="shared" si="0"/>
        <v>9.1997</v>
      </c>
      <c r="N5" s="45">
        <f t="shared" si="1"/>
        <v>197387569.01659337</v>
      </c>
    </row>
    <row r="6" spans="1:14" ht="25.5" x14ac:dyDescent="0.25">
      <c r="A6" s="39" t="s">
        <v>59</v>
      </c>
      <c r="B6" s="40">
        <v>40300</v>
      </c>
      <c r="C6" s="32">
        <v>236</v>
      </c>
      <c r="D6" s="41">
        <v>461</v>
      </c>
      <c r="E6" s="33">
        <f t="shared" si="2"/>
        <v>1.9533898305084745</v>
      </c>
      <c r="F6" s="34">
        <f t="shared" si="3"/>
        <v>78718.610169491527</v>
      </c>
      <c r="G6" s="41">
        <v>461</v>
      </c>
      <c r="H6" s="42">
        <v>1074</v>
      </c>
      <c r="I6" s="33">
        <f t="shared" si="4"/>
        <v>2.3297180043383947</v>
      </c>
      <c r="J6" s="42">
        <v>100</v>
      </c>
      <c r="K6" s="36">
        <f t="shared" si="5"/>
        <v>183389.16338835986</v>
      </c>
      <c r="L6" s="43">
        <v>938.88</v>
      </c>
      <c r="M6" s="44">
        <f t="shared" si="0"/>
        <v>9.3887999999999998</v>
      </c>
      <c r="N6" s="45">
        <f t="shared" si="1"/>
        <v>1721801.177220633</v>
      </c>
    </row>
    <row r="7" spans="1:14" ht="25.5" x14ac:dyDescent="0.25">
      <c r="A7" s="39" t="s">
        <v>60</v>
      </c>
      <c r="B7" s="40">
        <v>671800</v>
      </c>
      <c r="C7" s="32">
        <v>236</v>
      </c>
      <c r="D7" s="41">
        <v>461</v>
      </c>
      <c r="E7" s="33">
        <f t="shared" si="2"/>
        <v>1.9533898305084745</v>
      </c>
      <c r="F7" s="34">
        <f t="shared" si="3"/>
        <v>1312284.2881355931</v>
      </c>
      <c r="G7" s="41">
        <v>461</v>
      </c>
      <c r="H7" s="42">
        <v>1074</v>
      </c>
      <c r="I7" s="33">
        <f t="shared" si="4"/>
        <v>2.3297180043383947</v>
      </c>
      <c r="J7" s="42">
        <v>100</v>
      </c>
      <c r="K7" s="36">
        <f t="shared" si="5"/>
        <v>3057249.3328798846</v>
      </c>
      <c r="L7" s="43">
        <v>961.34</v>
      </c>
      <c r="M7" s="44">
        <f t="shared" si="0"/>
        <v>9.6134000000000004</v>
      </c>
      <c r="N7" s="45">
        <f>K7*M7-3</f>
        <v>29390557.736707482</v>
      </c>
    </row>
    <row r="8" spans="1:14" x14ac:dyDescent="0.25">
      <c r="A8" s="118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20"/>
    </row>
    <row r="9" spans="1:14" x14ac:dyDescent="0.25">
      <c r="A9" s="39" t="s">
        <v>61</v>
      </c>
      <c r="B9" s="46">
        <f>SUM(B3:B7)</f>
        <v>7752000</v>
      </c>
      <c r="C9" s="39"/>
      <c r="D9" s="39"/>
      <c r="E9" s="39"/>
      <c r="F9" s="45">
        <f>SUM(F3:F7)</f>
        <v>15142662.966101695</v>
      </c>
      <c r="G9" s="39"/>
      <c r="H9" s="39"/>
      <c r="I9" s="33"/>
      <c r="J9" s="39"/>
      <c r="K9" s="45">
        <f>SUM(K3:K7)</f>
        <v>35278119.545755357</v>
      </c>
      <c r="L9" s="39"/>
      <c r="M9" s="39"/>
      <c r="N9" s="45">
        <f>SUM(N3:N7)</f>
        <v>325944284.15399641</v>
      </c>
    </row>
  </sheetData>
  <mergeCells count="1">
    <mergeCell ref="A8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DA31-B6A3-4610-901B-8670A4182EB6}">
  <dimension ref="B2:E59"/>
  <sheetViews>
    <sheetView topLeftCell="A3" workbookViewId="0">
      <selection activeCell="D59" sqref="D59:E59"/>
    </sheetView>
  </sheetViews>
  <sheetFormatPr defaultRowHeight="15" x14ac:dyDescent="0.25"/>
  <cols>
    <col min="2" max="5" width="35.140625" customWidth="1"/>
  </cols>
  <sheetData>
    <row r="2" spans="2:5" ht="30" x14ac:dyDescent="0.25">
      <c r="B2" s="146" t="s">
        <v>67</v>
      </c>
      <c r="C2" s="146"/>
      <c r="D2" s="146"/>
      <c r="E2" s="146"/>
    </row>
    <row r="3" spans="2:5" ht="20.25" x14ac:dyDescent="0.3">
      <c r="B3" s="127" t="s">
        <v>68</v>
      </c>
      <c r="C3" s="128"/>
      <c r="D3" s="147">
        <v>2.8750000000000001E-2</v>
      </c>
      <c r="E3" s="147"/>
    </row>
    <row r="4" spans="2:5" ht="20.25" x14ac:dyDescent="0.3">
      <c r="B4" s="127" t="s">
        <v>69</v>
      </c>
      <c r="C4" s="128"/>
      <c r="D4" s="148">
        <v>30</v>
      </c>
      <c r="E4" s="148"/>
    </row>
    <row r="5" spans="2:5" ht="20.25" x14ac:dyDescent="0.25">
      <c r="B5" s="127" t="s">
        <v>70</v>
      </c>
      <c r="C5" s="128"/>
      <c r="D5" s="149">
        <v>1</v>
      </c>
      <c r="E5" s="150"/>
    </row>
    <row r="6" spans="2:5" ht="15.75" x14ac:dyDescent="0.25">
      <c r="B6" s="137"/>
      <c r="C6" s="138"/>
      <c r="D6" s="50" t="s">
        <v>71</v>
      </c>
      <c r="E6" s="50" t="s">
        <v>72</v>
      </c>
    </row>
    <row r="7" spans="2:5" x14ac:dyDescent="0.25">
      <c r="B7" s="139"/>
      <c r="C7" s="140"/>
      <c r="D7" s="51" t="s">
        <v>73</v>
      </c>
      <c r="E7" s="52">
        <v>0</v>
      </c>
    </row>
    <row r="8" spans="2:5" x14ac:dyDescent="0.25">
      <c r="B8" s="139"/>
      <c r="C8" s="140"/>
      <c r="D8" s="51" t="s">
        <v>74</v>
      </c>
      <c r="E8" s="52">
        <v>0</v>
      </c>
    </row>
    <row r="9" spans="2:5" x14ac:dyDescent="0.25">
      <c r="B9" s="141"/>
      <c r="C9" s="142"/>
      <c r="D9" s="51" t="s">
        <v>75</v>
      </c>
      <c r="E9" s="52">
        <v>0</v>
      </c>
    </row>
    <row r="10" spans="2:5" x14ac:dyDescent="0.25">
      <c r="B10" s="126"/>
      <c r="C10" s="126"/>
      <c r="D10" s="126"/>
      <c r="E10" s="126"/>
    </row>
    <row r="11" spans="2:5" ht="15.75" x14ac:dyDescent="0.25">
      <c r="B11" s="53" t="s">
        <v>76</v>
      </c>
      <c r="C11" s="53" t="s">
        <v>77</v>
      </c>
      <c r="D11" s="53" t="s">
        <v>78</v>
      </c>
      <c r="E11" s="53" t="s">
        <v>79</v>
      </c>
    </row>
    <row r="12" spans="2:5" ht="15.75" x14ac:dyDescent="0.25">
      <c r="B12" s="127" t="s">
        <v>80</v>
      </c>
      <c r="C12" s="143"/>
      <c r="D12" s="143"/>
      <c r="E12" s="128"/>
    </row>
    <row r="13" spans="2:5" ht="30" x14ac:dyDescent="0.25">
      <c r="B13" s="54" t="s">
        <v>81</v>
      </c>
      <c r="C13" s="55">
        <v>1</v>
      </c>
      <c r="D13" s="56">
        <v>250000</v>
      </c>
      <c r="E13" s="57">
        <f>PV($D$3,C13,,-D13)</f>
        <v>243013.36573511543</v>
      </c>
    </row>
    <row r="14" spans="2:5" x14ac:dyDescent="0.25">
      <c r="B14" s="54" t="s">
        <v>82</v>
      </c>
      <c r="C14" s="55">
        <v>2</v>
      </c>
      <c r="D14" s="56">
        <v>250000</v>
      </c>
      <c r="E14" s="57">
        <f t="shared" ref="E14:E42" si="0">PV($D$3,C14,,-D14)</f>
        <v>236221.98370363589</v>
      </c>
    </row>
    <row r="15" spans="2:5" x14ac:dyDescent="0.25">
      <c r="B15" s="54" t="s">
        <v>83</v>
      </c>
      <c r="C15" s="55">
        <v>2</v>
      </c>
      <c r="D15" s="56">
        <v>2000000</v>
      </c>
      <c r="E15" s="57">
        <f t="shared" si="0"/>
        <v>1889775.8696290872</v>
      </c>
    </row>
    <row r="16" spans="2:5" x14ac:dyDescent="0.25">
      <c r="B16" s="54" t="s">
        <v>84</v>
      </c>
      <c r="C16" s="55">
        <v>5</v>
      </c>
      <c r="D16" s="56">
        <v>3000000</v>
      </c>
      <c r="E16" s="57">
        <f t="shared" si="0"/>
        <v>2603586.5157465655</v>
      </c>
    </row>
    <row r="17" spans="2:5" x14ac:dyDescent="0.25">
      <c r="B17" s="54" t="s">
        <v>85</v>
      </c>
      <c r="C17" s="55">
        <v>7</v>
      </c>
      <c r="D17" s="56">
        <v>1500000</v>
      </c>
      <c r="E17" s="57">
        <f>PV($D$3,C17,,-D17)</f>
        <v>1230048.7429873829</v>
      </c>
    </row>
    <row r="18" spans="2:5" ht="15.75" x14ac:dyDescent="0.25">
      <c r="B18" s="127" t="s">
        <v>86</v>
      </c>
      <c r="C18" s="143"/>
      <c r="D18" s="143"/>
      <c r="E18" s="128"/>
    </row>
    <row r="19" spans="2:5" ht="30" x14ac:dyDescent="0.25">
      <c r="B19" s="54" t="s">
        <v>87</v>
      </c>
      <c r="C19" s="55">
        <v>3</v>
      </c>
      <c r="D19" s="56">
        <v>160000</v>
      </c>
      <c r="E19" s="57">
        <f t="shared" si="0"/>
        <v>146957.05426034212</v>
      </c>
    </row>
    <row r="20" spans="2:5" ht="30" x14ac:dyDescent="0.25">
      <c r="B20" s="54" t="s">
        <v>88</v>
      </c>
      <c r="C20" s="55">
        <v>3</v>
      </c>
      <c r="D20" s="56">
        <v>2975000</v>
      </c>
      <c r="E20" s="57">
        <f t="shared" si="0"/>
        <v>2732482.7276532366</v>
      </c>
    </row>
    <row r="21" spans="2:5" ht="30" x14ac:dyDescent="0.25">
      <c r="B21" s="54" t="s">
        <v>89</v>
      </c>
      <c r="C21" s="55">
        <v>5</v>
      </c>
      <c r="D21" s="56">
        <v>1000000</v>
      </c>
      <c r="E21" s="57">
        <f t="shared" si="0"/>
        <v>867862.17191552185</v>
      </c>
    </row>
    <row r="22" spans="2:5" ht="30" x14ac:dyDescent="0.25">
      <c r="B22" s="54" t="s">
        <v>90</v>
      </c>
      <c r="C22" s="55">
        <v>7</v>
      </c>
      <c r="D22" s="56">
        <v>1000000</v>
      </c>
      <c r="E22" s="57">
        <f t="shared" si="0"/>
        <v>820032.49532492191</v>
      </c>
    </row>
    <row r="23" spans="2:5" x14ac:dyDescent="0.25">
      <c r="B23" s="54"/>
      <c r="C23" s="55"/>
      <c r="D23" s="56"/>
      <c r="E23" s="57">
        <f t="shared" si="0"/>
        <v>0</v>
      </c>
    </row>
    <row r="24" spans="2:5" x14ac:dyDescent="0.25">
      <c r="B24" s="58"/>
      <c r="C24" s="55"/>
      <c r="D24" s="56"/>
      <c r="E24" s="57">
        <f>PV($D$3,C24,,-D24)</f>
        <v>0</v>
      </c>
    </row>
    <row r="25" spans="2:5" ht="30" x14ac:dyDescent="0.25">
      <c r="B25" s="54" t="s">
        <v>91</v>
      </c>
      <c r="C25" s="55" t="s">
        <v>92</v>
      </c>
      <c r="D25" s="56">
        <v>15000000</v>
      </c>
      <c r="E25" s="57" t="s">
        <v>65</v>
      </c>
    </row>
    <row r="26" spans="2:5" x14ac:dyDescent="0.25">
      <c r="B26" s="54">
        <v>2022</v>
      </c>
      <c r="C26" s="55">
        <v>2</v>
      </c>
      <c r="D26" s="56">
        <v>882352.9411764706</v>
      </c>
      <c r="E26" s="57">
        <f>PV($D$3,C26,,-D26)</f>
        <v>833724.64836577373</v>
      </c>
    </row>
    <row r="27" spans="2:5" x14ac:dyDescent="0.25">
      <c r="B27" s="54">
        <v>2023</v>
      </c>
      <c r="C27" s="55">
        <v>3</v>
      </c>
      <c r="D27" s="56">
        <v>882352.9411764706</v>
      </c>
      <c r="E27" s="57">
        <f t="shared" si="0"/>
        <v>810424.93158276915</v>
      </c>
    </row>
    <row r="28" spans="2:5" x14ac:dyDescent="0.25">
      <c r="B28" s="54">
        <v>2024</v>
      </c>
      <c r="C28" s="55">
        <v>4</v>
      </c>
      <c r="D28" s="56">
        <v>882352.9411764706</v>
      </c>
      <c r="E28" s="57">
        <f t="shared" si="0"/>
        <v>787776.36119831749</v>
      </c>
    </row>
    <row r="29" spans="2:5" x14ac:dyDescent="0.25">
      <c r="B29" s="54">
        <v>2025</v>
      </c>
      <c r="C29" s="55">
        <v>5</v>
      </c>
      <c r="D29" s="56">
        <v>882352.9411764706</v>
      </c>
      <c r="E29" s="57">
        <f t="shared" si="0"/>
        <v>765760.73992546042</v>
      </c>
    </row>
    <row r="30" spans="2:5" x14ac:dyDescent="0.25">
      <c r="B30" s="54">
        <v>2026</v>
      </c>
      <c r="C30" s="55">
        <v>6</v>
      </c>
      <c r="D30" s="56">
        <v>882352.9411764706</v>
      </c>
      <c r="E30" s="57">
        <f t="shared" si="0"/>
        <v>744360.37902839412</v>
      </c>
    </row>
    <row r="31" spans="2:5" x14ac:dyDescent="0.25">
      <c r="B31" s="54">
        <v>2027</v>
      </c>
      <c r="C31" s="55">
        <v>7</v>
      </c>
      <c r="D31" s="56">
        <v>882352.9411764706</v>
      </c>
      <c r="E31" s="57">
        <f t="shared" si="0"/>
        <v>723558.0841102252</v>
      </c>
    </row>
    <row r="32" spans="2:5" x14ac:dyDescent="0.25">
      <c r="B32" s="54">
        <v>2028</v>
      </c>
      <c r="C32" s="55">
        <v>8</v>
      </c>
      <c r="D32" s="56">
        <v>882352.9411764706</v>
      </c>
      <c r="E32" s="57">
        <f t="shared" si="0"/>
        <v>703337.14129791025</v>
      </c>
    </row>
    <row r="33" spans="2:5" x14ac:dyDescent="0.25">
      <c r="B33" s="54">
        <v>2029</v>
      </c>
      <c r="C33" s="55">
        <v>9</v>
      </c>
      <c r="D33" s="56">
        <v>882352.9411764706</v>
      </c>
      <c r="E33" s="57">
        <f t="shared" si="0"/>
        <v>683681.30381327844</v>
      </c>
    </row>
    <row r="34" spans="2:5" x14ac:dyDescent="0.25">
      <c r="B34" s="54">
        <v>2030</v>
      </c>
      <c r="C34" s="55">
        <v>10</v>
      </c>
      <c r="D34" s="56">
        <v>882352.9411764706</v>
      </c>
      <c r="E34" s="57">
        <f t="shared" si="0"/>
        <v>664574.77891934721</v>
      </c>
    </row>
    <row r="35" spans="2:5" x14ac:dyDescent="0.25">
      <c r="B35" s="54">
        <v>2031</v>
      </c>
      <c r="C35" s="55">
        <v>11</v>
      </c>
      <c r="D35" s="56">
        <v>882352.9411764706</v>
      </c>
      <c r="E35" s="57">
        <f t="shared" si="0"/>
        <v>646002.21523144317</v>
      </c>
    </row>
    <row r="36" spans="2:5" x14ac:dyDescent="0.25">
      <c r="B36" s="54">
        <v>2032</v>
      </c>
      <c r="C36" s="55">
        <v>12</v>
      </c>
      <c r="D36" s="56">
        <v>882352.9411764706</v>
      </c>
      <c r="E36" s="57">
        <f t="shared" si="0"/>
        <v>627948.69038293383</v>
      </c>
    </row>
    <row r="37" spans="2:5" x14ac:dyDescent="0.25">
      <c r="B37" s="54">
        <v>2033</v>
      </c>
      <c r="C37" s="55">
        <v>13</v>
      </c>
      <c r="D37" s="56">
        <v>882352.9411764706</v>
      </c>
      <c r="E37" s="57">
        <f t="shared" si="0"/>
        <v>610399.69903565862</v>
      </c>
    </row>
    <row r="38" spans="2:5" x14ac:dyDescent="0.25">
      <c r="B38" s="54">
        <v>2034</v>
      </c>
      <c r="C38" s="55">
        <v>14</v>
      </c>
      <c r="D38" s="56">
        <v>882352.9411764706</v>
      </c>
      <c r="E38" s="57">
        <f t="shared" si="0"/>
        <v>593341.14122542751</v>
      </c>
    </row>
    <row r="39" spans="2:5" x14ac:dyDescent="0.25">
      <c r="B39" s="54">
        <v>2035</v>
      </c>
      <c r="C39" s="55">
        <v>15</v>
      </c>
      <c r="D39" s="56">
        <v>882352.9411764706</v>
      </c>
      <c r="E39" s="57">
        <f t="shared" si="0"/>
        <v>576759.31103322248</v>
      </c>
    </row>
    <row r="40" spans="2:5" x14ac:dyDescent="0.25">
      <c r="B40" s="54">
        <v>2036</v>
      </c>
      <c r="C40" s="55">
        <v>16</v>
      </c>
      <c r="D40" s="56">
        <v>882352.9411764706</v>
      </c>
      <c r="E40" s="57">
        <f t="shared" si="0"/>
        <v>560640.88557299867</v>
      </c>
    </row>
    <row r="41" spans="2:5" x14ac:dyDescent="0.25">
      <c r="B41" s="54">
        <v>2037</v>
      </c>
      <c r="C41" s="55">
        <v>17</v>
      </c>
      <c r="D41" s="56">
        <v>882352.9411764706</v>
      </c>
      <c r="E41" s="57">
        <f t="shared" si="0"/>
        <v>544972.91428724048</v>
      </c>
    </row>
    <row r="42" spans="2:5" x14ac:dyDescent="0.25">
      <c r="B42" s="54">
        <v>2038</v>
      </c>
      <c r="C42" s="55">
        <v>18</v>
      </c>
      <c r="D42" s="56">
        <v>882352.9411764706</v>
      </c>
      <c r="E42" s="57">
        <f t="shared" si="0"/>
        <v>529742.80854166753</v>
      </c>
    </row>
    <row r="43" spans="2:5" x14ac:dyDescent="0.25">
      <c r="B43" s="126"/>
      <c r="C43" s="126"/>
      <c r="D43" s="126"/>
      <c r="E43" s="126"/>
    </row>
    <row r="44" spans="2:5" ht="15.75" x14ac:dyDescent="0.25">
      <c r="B44" s="127" t="s">
        <v>93</v>
      </c>
      <c r="C44" s="128"/>
      <c r="D44" s="144">
        <v>0</v>
      </c>
      <c r="E44" s="145"/>
    </row>
    <row r="45" spans="2:5" ht="15.75" x14ac:dyDescent="0.25">
      <c r="B45" s="127" t="s">
        <v>94</v>
      </c>
      <c r="C45" s="128"/>
      <c r="D45" s="135">
        <v>0</v>
      </c>
      <c r="E45" s="135"/>
    </row>
    <row r="46" spans="2:5" ht="15.75" x14ac:dyDescent="0.25">
      <c r="B46" s="127" t="s">
        <v>95</v>
      </c>
      <c r="C46" s="128"/>
      <c r="D46" s="136">
        <f>SUM(E7:E42,D45)</f>
        <v>22176986.960507881</v>
      </c>
      <c r="E46" s="136"/>
    </row>
    <row r="47" spans="2:5" ht="15.75" x14ac:dyDescent="0.25">
      <c r="B47" s="127" t="s">
        <v>96</v>
      </c>
      <c r="C47" s="128"/>
      <c r="D47" s="136">
        <f>D46*D5</f>
        <v>22176986.960507881</v>
      </c>
      <c r="E47" s="136"/>
    </row>
    <row r="48" spans="2:5" x14ac:dyDescent="0.25">
      <c r="B48" s="126"/>
      <c r="C48" s="126"/>
      <c r="D48" s="126"/>
      <c r="E48" s="126"/>
    </row>
    <row r="49" spans="2:5" ht="15.75" x14ac:dyDescent="0.25">
      <c r="B49" s="131" t="s">
        <v>97</v>
      </c>
      <c r="C49" s="131"/>
      <c r="D49" s="131"/>
      <c r="E49" s="59">
        <f>D4</f>
        <v>30</v>
      </c>
    </row>
    <row r="50" spans="2:5" ht="15.75" x14ac:dyDescent="0.25">
      <c r="B50" s="132" t="s">
        <v>98</v>
      </c>
      <c r="C50" s="132"/>
      <c r="D50" s="132"/>
      <c r="E50" s="132"/>
    </row>
    <row r="51" spans="2:5" ht="15.75" x14ac:dyDescent="0.25">
      <c r="B51" s="133">
        <f>(($D$47)*($D$3))/(1-((1+$D$3)^-$D$4))</f>
        <v>1113248.3593727963</v>
      </c>
      <c r="C51" s="133"/>
      <c r="D51" s="133"/>
      <c r="E51" s="133"/>
    </row>
    <row r="52" spans="2:5" ht="15.75" x14ac:dyDescent="0.25">
      <c r="B52" s="134"/>
      <c r="C52" s="134"/>
      <c r="D52" s="134"/>
      <c r="E52" s="134"/>
    </row>
    <row r="53" spans="2:5" ht="15.75" x14ac:dyDescent="0.25">
      <c r="B53" s="131" t="s">
        <v>99</v>
      </c>
      <c r="C53" s="131"/>
      <c r="D53" s="131"/>
      <c r="E53" s="59">
        <v>30</v>
      </c>
    </row>
    <row r="54" spans="2:5" ht="15.75" x14ac:dyDescent="0.25">
      <c r="B54" s="124" t="s">
        <v>100</v>
      </c>
      <c r="C54" s="124"/>
      <c r="D54" s="124"/>
      <c r="E54" s="124"/>
    </row>
    <row r="55" spans="2:5" ht="15.75" x14ac:dyDescent="0.25">
      <c r="B55" s="125">
        <f>(($D$3*(1+$D$3)^$D$4)/((1+$D$3)^$D$4-1))</f>
        <v>5.0198359288177223E-2</v>
      </c>
      <c r="C55" s="125"/>
      <c r="D55" s="125"/>
      <c r="E55" s="125"/>
    </row>
    <row r="56" spans="2:5" x14ac:dyDescent="0.25">
      <c r="B56" s="126"/>
      <c r="C56" s="126"/>
      <c r="D56" s="126"/>
      <c r="E56" s="126"/>
    </row>
    <row r="57" spans="2:5" ht="15.75" x14ac:dyDescent="0.25">
      <c r="B57" s="127" t="s">
        <v>101</v>
      </c>
      <c r="C57" s="128"/>
      <c r="D57" s="129">
        <v>2020</v>
      </c>
      <c r="E57" s="129"/>
    </row>
    <row r="58" spans="2:5" ht="15.75" x14ac:dyDescent="0.25">
      <c r="B58" s="127" t="s">
        <v>102</v>
      </c>
      <c r="C58" s="128"/>
      <c r="D58" s="130">
        <f>B55</f>
        <v>5.0198359288177223E-2</v>
      </c>
      <c r="E58" s="130"/>
    </row>
    <row r="59" spans="2:5" ht="30" x14ac:dyDescent="0.25">
      <c r="B59" s="121" t="s">
        <v>103</v>
      </c>
      <c r="C59" s="122"/>
      <c r="D59" s="123">
        <f>(D47*B55)+D44</f>
        <v>1113248.359372796</v>
      </c>
      <c r="E59" s="123"/>
    </row>
  </sheetData>
  <mergeCells count="35">
    <mergeCell ref="B44:C44"/>
    <mergeCell ref="D44:E44"/>
    <mergeCell ref="B2:E2"/>
    <mergeCell ref="B3:C3"/>
    <mergeCell ref="D3:E3"/>
    <mergeCell ref="B4:C4"/>
    <mergeCell ref="D4:E4"/>
    <mergeCell ref="B5:C5"/>
    <mergeCell ref="D5:E5"/>
    <mergeCell ref="B6:C9"/>
    <mergeCell ref="B10:E10"/>
    <mergeCell ref="B12:E12"/>
    <mergeCell ref="B18:E18"/>
    <mergeCell ref="B43:E43"/>
    <mergeCell ref="B53:D53"/>
    <mergeCell ref="B45:C45"/>
    <mergeCell ref="D45:E45"/>
    <mergeCell ref="B46:C46"/>
    <mergeCell ref="D46:E46"/>
    <mergeCell ref="B47:C47"/>
    <mergeCell ref="D47:E47"/>
    <mergeCell ref="B48:E48"/>
    <mergeCell ref="B49:D49"/>
    <mergeCell ref="B50:E50"/>
    <mergeCell ref="B51:E51"/>
    <mergeCell ref="B52:E52"/>
    <mergeCell ref="B59:C59"/>
    <mergeCell ref="D59:E59"/>
    <mergeCell ref="B54:E54"/>
    <mergeCell ref="B55:E55"/>
    <mergeCell ref="B56:E56"/>
    <mergeCell ref="B57:C57"/>
    <mergeCell ref="D57:E57"/>
    <mergeCell ref="B58:C58"/>
    <mergeCell ref="D58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Annual Cost</vt:lpstr>
      <vt:lpstr>Storage Capacity</vt:lpstr>
      <vt:lpstr>Joint Costs O&amp;M</vt:lpstr>
      <vt:lpstr>Updated Storage Costs</vt:lpstr>
      <vt:lpstr>RR&amp;R and Mitigation</vt:lpstr>
    </vt:vector>
  </TitlesOfParts>
  <Company>USACE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John C CIV USARMY CESPK (USA)</dc:creator>
  <cp:lastModifiedBy>Nielsen, John C CIV USARMY CESPK (USA)</cp:lastModifiedBy>
  <dcterms:created xsi:type="dcterms:W3CDTF">2025-09-08T16:18:36Z</dcterms:created>
  <dcterms:modified xsi:type="dcterms:W3CDTF">2025-09-08T17:49:22Z</dcterms:modified>
</cp:coreProperties>
</file>