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oppyadams/Desktop/BASC0017/Assignments/Assignment 2/"/>
    </mc:Choice>
  </mc:AlternateContent>
  <xr:revisionPtr revIDLastSave="0" documentId="8_{B1025F76-3E0A-3446-A2D2-EE569020B32F}" xr6:coauthVersionLast="47" xr6:coauthVersionMax="47" xr10:uidLastSave="{00000000-0000-0000-0000-000000000000}"/>
  <bookViews>
    <workbookView xWindow="30240" yWindow="500" windowWidth="19160" windowHeight="21100" activeTab="5" xr2:uid="{8D952DF1-53A4-FE43-8DC6-A00E14053329}"/>
  </bookViews>
  <sheets>
    <sheet name="Beliefs" sheetId="8" r:id="rId1"/>
    <sheet name="Information Sets" sheetId="10" r:id="rId2"/>
    <sheet name="BASc Grades" sheetId="9" r:id="rId3"/>
    <sheet name="Payoff Calculations" sheetId="7" r:id="rId4"/>
    <sheet name="Costs" sheetId="6" r:id="rId5"/>
    <sheet name="Probability - Barrister" sheetId="1" r:id="rId6"/>
    <sheet name="Salary - Barrister" sheetId="3" r:id="rId7"/>
    <sheet name="Probability - Solicitor" sheetId="2" r:id="rId8"/>
    <sheet name="Salary - Solicitor" sheetId="5" r:id="rId9"/>
    <sheet name="Magic Circle" sheetId="4" r:id="rId10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9" i="1" l="1"/>
  <c r="J50" i="1"/>
  <c r="J51" i="1"/>
  <c r="J52" i="1"/>
  <c r="J53" i="1"/>
  <c r="J54" i="1"/>
  <c r="J55" i="1"/>
  <c r="J56" i="1"/>
  <c r="J57" i="1"/>
  <c r="J58" i="1"/>
  <c r="J48" i="1"/>
  <c r="H49" i="1"/>
  <c r="H50" i="1"/>
  <c r="H51" i="1"/>
  <c r="H52" i="1"/>
  <c r="H53" i="1"/>
  <c r="H54" i="1"/>
  <c r="H55" i="1"/>
  <c r="H56" i="1"/>
  <c r="H57" i="1"/>
  <c r="H58" i="1"/>
  <c r="H48" i="1"/>
  <c r="F49" i="1"/>
  <c r="F50" i="1"/>
  <c r="F51" i="1"/>
  <c r="F52" i="1"/>
  <c r="F53" i="1"/>
  <c r="F54" i="1"/>
  <c r="F55" i="1"/>
  <c r="F56" i="1"/>
  <c r="F57" i="1"/>
  <c r="F58" i="1"/>
  <c r="F48" i="1"/>
  <c r="C59" i="1"/>
  <c r="B59" i="1"/>
  <c r="D58" i="1"/>
  <c r="D57" i="1"/>
  <c r="D56" i="1"/>
  <c r="D55" i="1"/>
  <c r="D54" i="1"/>
  <c r="D53" i="1"/>
  <c r="D52" i="1"/>
  <c r="D51" i="1"/>
  <c r="D50" i="1"/>
  <c r="D49" i="1"/>
  <c r="D48" i="1"/>
  <c r="M15" i="10"/>
  <c r="M17" i="10" s="1"/>
  <c r="L15" i="10"/>
  <c r="L17" i="10" s="1"/>
  <c r="M9" i="10"/>
  <c r="L9" i="10"/>
  <c r="M5" i="10"/>
  <c r="M19" i="10" s="1"/>
  <c r="M21" i="10" s="1"/>
  <c r="L5" i="10"/>
  <c r="L19" i="10" s="1"/>
  <c r="L21" i="10" s="1"/>
  <c r="D17" i="8"/>
  <c r="D19" i="8" s="1"/>
  <c r="C17" i="8"/>
  <c r="C19" i="8" s="1"/>
  <c r="D11" i="8"/>
  <c r="D7" i="8"/>
  <c r="D21" i="8" s="1"/>
  <c r="D23" i="8" s="1"/>
  <c r="C11" i="8"/>
  <c r="C7" i="8"/>
  <c r="D40" i="1"/>
  <c r="C18" i="7"/>
  <c r="B18" i="7"/>
  <c r="C9" i="7"/>
  <c r="B9" i="7"/>
  <c r="C17" i="7"/>
  <c r="B17" i="7"/>
  <c r="C8" i="7"/>
  <c r="B8" i="7"/>
  <c r="C8" i="9"/>
  <c r="B8" i="9"/>
  <c r="F97" i="5"/>
  <c r="F96" i="5"/>
  <c r="C40" i="1"/>
  <c r="B40" i="1"/>
  <c r="C24" i="6"/>
  <c r="C23" i="6"/>
  <c r="E5" i="2"/>
  <c r="E6" i="2"/>
  <c r="E7" i="2"/>
  <c r="E8" i="2"/>
  <c r="E9" i="2"/>
  <c r="E10" i="2"/>
  <c r="E11" i="2"/>
  <c r="E12" i="2"/>
  <c r="E13" i="2"/>
  <c r="E14" i="2"/>
  <c r="E15" i="2"/>
  <c r="N11" i="3"/>
  <c r="M11" i="3"/>
  <c r="L11" i="3"/>
  <c r="O10" i="3"/>
  <c r="O9" i="3"/>
  <c r="E97" i="5"/>
  <c r="D97" i="5"/>
  <c r="C97" i="5"/>
  <c r="J23" i="5"/>
  <c r="I23" i="5"/>
  <c r="H23" i="5"/>
  <c r="J22" i="5"/>
  <c r="I22" i="5"/>
  <c r="H22" i="5"/>
  <c r="E96" i="5"/>
  <c r="D96" i="5"/>
  <c r="C96" i="5"/>
  <c r="E23" i="4"/>
  <c r="E25" i="4"/>
  <c r="E26" i="4"/>
  <c r="E22" i="4"/>
  <c r="D23" i="2"/>
  <c r="D28" i="2" s="1"/>
  <c r="C23" i="2"/>
  <c r="D19" i="2"/>
  <c r="D18" i="2"/>
  <c r="C19" i="2"/>
  <c r="C18" i="2"/>
  <c r="D22" i="2"/>
  <c r="C22" i="2"/>
  <c r="D16" i="2"/>
  <c r="C16" i="2"/>
  <c r="E26" i="3"/>
  <c r="F26" i="3"/>
  <c r="G26" i="3"/>
  <c r="H26" i="3"/>
  <c r="I26" i="3"/>
  <c r="D26" i="3"/>
  <c r="C26" i="3"/>
  <c r="B26" i="3"/>
  <c r="D23" i="3"/>
  <c r="E23" i="3"/>
  <c r="F23" i="3"/>
  <c r="G23" i="3"/>
  <c r="H23" i="3"/>
  <c r="I23" i="3"/>
  <c r="C23" i="3"/>
  <c r="B23" i="3"/>
  <c r="D22" i="3"/>
  <c r="E22" i="3"/>
  <c r="F22" i="3"/>
  <c r="G22" i="3"/>
  <c r="H22" i="3"/>
  <c r="I22" i="3"/>
  <c r="C22" i="3"/>
  <c r="B22" i="3"/>
  <c r="I20" i="3"/>
  <c r="H20" i="3"/>
  <c r="G20" i="3"/>
  <c r="F20" i="3"/>
  <c r="E20" i="3"/>
  <c r="D20" i="3"/>
  <c r="C20" i="3"/>
  <c r="B20" i="3"/>
  <c r="D59" i="1" l="1"/>
  <c r="C21" i="8"/>
  <c r="C23" i="8" s="1"/>
  <c r="E16" i="2"/>
  <c r="O11" i="3"/>
  <c r="D32" i="2"/>
  <c r="C32" i="2"/>
  <c r="D34" i="2"/>
  <c r="C37" i="2"/>
  <c r="C33" i="2"/>
  <c r="C34" i="2"/>
  <c r="D35" i="2"/>
  <c r="D33" i="2"/>
  <c r="C20" i="2"/>
  <c r="C36" i="2"/>
  <c r="D38" i="2"/>
  <c r="D31" i="2"/>
  <c r="C28" i="2"/>
  <c r="C38" i="2"/>
  <c r="D29" i="2"/>
  <c r="C29" i="2"/>
  <c r="C31" i="2"/>
  <c r="D36" i="2"/>
  <c r="D20" i="2"/>
  <c r="C35" i="2"/>
  <c r="D30" i="2"/>
  <c r="C30" i="2"/>
  <c r="D37" i="2"/>
  <c r="B25" i="3"/>
  <c r="B34" i="3" s="1"/>
  <c r="H25" i="3"/>
  <c r="H35" i="3" s="1"/>
  <c r="I25" i="3"/>
  <c r="I31" i="3" s="1"/>
  <c r="I36" i="3"/>
  <c r="G25" i="3"/>
  <c r="C25" i="3"/>
  <c r="D25" i="3"/>
  <c r="E25" i="3"/>
  <c r="F25" i="3"/>
  <c r="H33" i="3" l="1"/>
  <c r="H32" i="3"/>
  <c r="H38" i="3"/>
  <c r="I35" i="3"/>
  <c r="B36" i="3"/>
  <c r="B35" i="3"/>
  <c r="B33" i="3"/>
  <c r="B32" i="3"/>
  <c r="B31" i="3"/>
  <c r="H37" i="3"/>
  <c r="H34" i="3"/>
  <c r="I37" i="3"/>
  <c r="B39" i="3"/>
  <c r="I39" i="3"/>
  <c r="B38" i="3"/>
  <c r="B37" i="3"/>
  <c r="I32" i="3"/>
  <c r="I33" i="3"/>
  <c r="I38" i="3"/>
  <c r="H31" i="3"/>
  <c r="H39" i="3"/>
  <c r="H36" i="3"/>
  <c r="I34" i="3"/>
  <c r="C35" i="3"/>
  <c r="C37" i="3"/>
  <c r="C38" i="3"/>
  <c r="C39" i="3"/>
  <c r="C31" i="3"/>
  <c r="C33" i="3"/>
  <c r="C34" i="3"/>
  <c r="C36" i="3"/>
  <c r="C32" i="3"/>
  <c r="E31" i="3"/>
  <c r="E33" i="3"/>
  <c r="E32" i="3"/>
  <c r="E37" i="3"/>
  <c r="E34" i="3"/>
  <c r="E39" i="3"/>
  <c r="E36" i="3"/>
  <c r="E38" i="3"/>
  <c r="E35" i="3"/>
  <c r="D34" i="3"/>
  <c r="D39" i="3"/>
  <c r="D31" i="3"/>
  <c r="D33" i="3"/>
  <c r="D38" i="3"/>
  <c r="D35" i="3"/>
  <c r="D32" i="3"/>
  <c r="D37" i="3"/>
  <c r="D36" i="3"/>
  <c r="F32" i="3"/>
  <c r="F37" i="3"/>
  <c r="F34" i="3"/>
  <c r="F35" i="3"/>
  <c r="F39" i="3"/>
  <c r="F31" i="3"/>
  <c r="F36" i="3"/>
  <c r="F33" i="3"/>
  <c r="F38" i="3"/>
  <c r="G34" i="3"/>
  <c r="G36" i="3"/>
  <c r="G38" i="3"/>
  <c r="G35" i="3"/>
  <c r="G32" i="3"/>
  <c r="G37" i="3"/>
  <c r="G39" i="3"/>
  <c r="G31" i="3"/>
  <c r="G33" i="3"/>
</calcChain>
</file>

<file path=xl/sharedStrings.xml><?xml version="1.0" encoding="utf-8"?>
<sst xmlns="http://schemas.openxmlformats.org/spreadsheetml/2006/main" count="651" uniqueCount="377">
  <si>
    <t>Source: https://www.barstandardsboard.org.uk/static/a24934ac-e2c0-48ff-beee3a049b304962/Bar-Training-2023-Report-on-overall-trends-over-time.pdf</t>
  </si>
  <si>
    <t>Progression of UK students (entire cohort) onto pupillage by degree class</t>
  </si>
  <si>
    <t>BPTC 2011/12 - 2012/13</t>
  </si>
  <si>
    <t>BPTC 2013/14 - 2014/15</t>
  </si>
  <si>
    <t>BPTC 2015/16 - 2016/17</t>
  </si>
  <si>
    <t>BPTC 2017/18 - 2018/19</t>
  </si>
  <si>
    <t>BPTC 2019/20</t>
  </si>
  <si>
    <t>New Course 2020/21</t>
  </si>
  <si>
    <t>New Course 2021/22</t>
  </si>
  <si>
    <t>Cohort</t>
  </si>
  <si>
    <t>First</t>
  </si>
  <si>
    <t>2:1</t>
  </si>
  <si>
    <t>% not commenced pupillage</t>
  </si>
  <si>
    <t>% with pupillage</t>
  </si>
  <si>
    <t>Solicitor Salaries</t>
  </si>
  <si>
    <t>Magic Circle</t>
  </si>
  <si>
    <t>Source: https://law-mind.co.uk/law-guide/the-ultimate-barrister-salaries-breakdown-what-to-know/</t>
  </si>
  <si>
    <t>and: https://www.barstandardsboard.org.uk/resources/press-releases/bsb-agrees-further-key-elements-for-the-future-of-bar-training.html</t>
  </si>
  <si>
    <t>Practice Area</t>
  </si>
  <si>
    <t>Commercial Law</t>
  </si>
  <si>
    <t>Public Law</t>
  </si>
  <si>
    <t>Criminal Law</t>
  </si>
  <si>
    <t>Environmental Law</t>
  </si>
  <si>
    <t>Family Law</t>
  </si>
  <si>
    <t>Corporate Law</t>
  </si>
  <si>
    <t>Intellectual Property</t>
  </si>
  <si>
    <t>Employment Law</t>
  </si>
  <si>
    <t>Tax Law</t>
  </si>
  <si>
    <t>Pupillage Year 1 Earnings</t>
  </si>
  <si>
    <t>Tenancy Year 1 Earnings</t>
  </si>
  <si>
    <t>Tenancy Year 2 Earnings</t>
  </si>
  <si>
    <t>Average Earnings (10+ years)</t>
  </si>
  <si>
    <t>Min</t>
  </si>
  <si>
    <t>Max</t>
  </si>
  <si>
    <t>Median</t>
  </si>
  <si>
    <t>Mean</t>
  </si>
  <si>
    <t>Lower Quartile</t>
  </si>
  <si>
    <t>Upper Quartile</t>
  </si>
  <si>
    <t>Source: https://www.legal500.com/future-lawyers/2022/11/02/how-much-does-a-barrister-earn/</t>
  </si>
  <si>
    <t>£18,884 outside London</t>
  </si>
  <si>
    <t>Minimum pupillage award</t>
  </si>
  <si>
    <t>£20,703 in London</t>
  </si>
  <si>
    <t>Pupillage Year 1</t>
  </si>
  <si>
    <t>Tenancy Year 1</t>
  </si>
  <si>
    <t>Tenancy Year 2</t>
  </si>
  <si>
    <t>Total earnings in first 3 years</t>
  </si>
  <si>
    <t>Standard Deviation</t>
  </si>
  <si>
    <t>Z-Scores</t>
  </si>
  <si>
    <t>2011-12</t>
  </si>
  <si>
    <t>2012-13</t>
  </si>
  <si>
    <t>2013-14</t>
  </si>
  <si>
    <t>2014-15</t>
  </si>
  <si>
    <t>2015-16</t>
  </si>
  <si>
    <t>Training contracts registered</t>
  </si>
  <si>
    <t>Admissions to the roll</t>
  </si>
  <si>
    <t>2016-17</t>
  </si>
  <si>
    <t>2017-18</t>
  </si>
  <si>
    <t>2018-19</t>
  </si>
  <si>
    <t>2019-20</t>
  </si>
  <si>
    <t>2020-21</t>
  </si>
  <si>
    <t>2021-22</t>
  </si>
  <si>
    <t>Starting from 2011-12 due to impact of 2008 finanical crisis on number of training contracts available</t>
  </si>
  <si>
    <t>Interquartile Range</t>
  </si>
  <si>
    <t>Total</t>
  </si>
  <si>
    <t>2011/12 - 2012/13</t>
  </si>
  <si>
    <t>2013/14 - 2014/15</t>
  </si>
  <si>
    <t>2015/16 - 2016/17</t>
  </si>
  <si>
    <t>2017/18 - 2018/19</t>
  </si>
  <si>
    <t>2019/20</t>
  </si>
  <si>
    <t>2020/21</t>
  </si>
  <si>
    <t>2021/22</t>
  </si>
  <si>
    <t>% With Pupillage</t>
  </si>
  <si>
    <t>Trainee</t>
  </si>
  <si>
    <t>Newly Qualified Associate</t>
  </si>
  <si>
    <t>Average starting salary</t>
  </si>
  <si>
    <t>Elite US firm</t>
  </si>
  <si>
    <t>Silver Circle</t>
  </si>
  <si>
    <t>Smaller regional firms</t>
  </si>
  <si>
    <t>3 years after qualifying: +£5,000</t>
  </si>
  <si>
    <t>1/3 Oxbridge and 1/2 other non-Oxbridge, Russell Group universities</t>
  </si>
  <si>
    <t>A&amp;O Shearman</t>
  </si>
  <si>
    <t>Clifford Chance</t>
  </si>
  <si>
    <t>Freshfields</t>
  </si>
  <si>
    <t>Linklaters</t>
  </si>
  <si>
    <t>Slaughter and May</t>
  </si>
  <si>
    <t>Ashurst</t>
  </si>
  <si>
    <t>Bryan Cave Leighton Paisner</t>
  </si>
  <si>
    <t>Herbert Smith Freehills</t>
  </si>
  <si>
    <t>Macfarlanes</t>
  </si>
  <si>
    <t>Travers Smith</t>
  </si>
  <si>
    <t>Training contract vacancies</t>
  </si>
  <si>
    <t>Number of applicants</t>
  </si>
  <si>
    <t>% Success</t>
  </si>
  <si>
    <t>1st year salary</t>
  </si>
  <si>
    <t>2nd year salary</t>
  </si>
  <si>
    <t>NQ salary</t>
  </si>
  <si>
    <t>Note: where different values given for different locations, I have used the value for London</t>
  </si>
  <si>
    <t>Data from: https://www.thelawyerportal.com/solicitor/solicitor-salaries/</t>
  </si>
  <si>
    <t>^ (Greene, 2021)</t>
  </si>
  <si>
    <t>Firm </t>
  </si>
  <si>
    <t>1st year salary </t>
  </si>
  <si>
    <t>2nd year salary </t>
  </si>
  <si>
    <t>NQ salary </t>
  </si>
  <si>
    <t>Addleshaw Goddard </t>
  </si>
  <si>
    <t>Akin Gump </t>
  </si>
  <si>
    <t>£60,000 </t>
  </si>
  <si>
    <t>£65,000 </t>
  </si>
  <si>
    <t>Arnold &amp; Porter </t>
  </si>
  <si>
    <t>£55,660 </t>
  </si>
  <si>
    <t>£59,220 </t>
  </si>
  <si>
    <t>£123,000 </t>
  </si>
  <si>
    <t>Ashfords </t>
  </si>
  <si>
    <t>Ashurst </t>
  </si>
  <si>
    <t>£52,000 </t>
  </si>
  <si>
    <t>£57,000 </t>
  </si>
  <si>
    <t>£125,000 </t>
  </si>
  <si>
    <t>Baker McKenzie </t>
  </si>
  <si>
    <t>£55,000 </t>
  </si>
  <si>
    <t>£61,000 </t>
  </si>
  <si>
    <t>£140,000 </t>
  </si>
  <si>
    <t>Bates Wells </t>
  </si>
  <si>
    <t>£41,000 </t>
  </si>
  <si>
    <t>£45,000 </t>
  </si>
  <si>
    <t>£73,000 </t>
  </si>
  <si>
    <t>Bristows </t>
  </si>
  <si>
    <t>£48,000 </t>
  </si>
  <si>
    <t>£92,000 </t>
  </si>
  <si>
    <t>Bryan Cave Leighton Paisner </t>
  </si>
  <si>
    <t>Burges Salmon </t>
  </si>
  <si>
    <t>Charles Russell Speechlys </t>
  </si>
  <si>
    <t>Cleary Gottlieb Steen &amp; Hamilton </t>
  </si>
  <si>
    <t>£57,500 </t>
  </si>
  <si>
    <t>£62,500 </t>
  </si>
  <si>
    <t>£164,500 </t>
  </si>
  <si>
    <t>CMS </t>
  </si>
  <si>
    <t>Collyer Bristow </t>
  </si>
  <si>
    <t>£39,000 </t>
  </si>
  <si>
    <t>£42,000 </t>
  </si>
  <si>
    <t>£71,000 </t>
  </si>
  <si>
    <t>Covington &amp; Burling </t>
  </si>
  <si>
    <t>£165,000 </t>
  </si>
  <si>
    <t>Cripps </t>
  </si>
  <si>
    <t>Curtis, Mallet-Prevost, Colt &amp; Mosle </t>
  </si>
  <si>
    <t>£50,000 </t>
  </si>
  <si>
    <t>Davis Polk &amp; Wardell </t>
  </si>
  <si>
    <t>£70,000 </t>
  </si>
  <si>
    <t>£180,000 </t>
  </si>
  <si>
    <t>Debevoise &amp; Plimpton </t>
  </si>
  <si>
    <t>£168,000 </t>
  </si>
  <si>
    <t>Dechert  </t>
  </si>
  <si>
    <t>Dentons </t>
  </si>
  <si>
    <t>£54,000 </t>
  </si>
  <si>
    <t>£100,000 </t>
  </si>
  <si>
    <t>DLA Piper </t>
  </si>
  <si>
    <t>Dorsey &amp; Whitney </t>
  </si>
  <si>
    <t>£102,500 </t>
  </si>
  <si>
    <t>Farrer &amp; Co </t>
  </si>
  <si>
    <t>£47,000 </t>
  </si>
  <si>
    <t>£75,000 </t>
  </si>
  <si>
    <t>Fladgate </t>
  </si>
  <si>
    <t>£46,000 </t>
  </si>
  <si>
    <t>£85,000 </t>
  </si>
  <si>
    <t>Foot Anstey </t>
  </si>
  <si>
    <t>£38,000 </t>
  </si>
  <si>
    <t>Forsters </t>
  </si>
  <si>
    <t>£45,500 </t>
  </si>
  <si>
    <t>£48,500 </t>
  </si>
  <si>
    <t>£81,000 </t>
  </si>
  <si>
    <t>Fox Williams </t>
  </si>
  <si>
    <t>£78,000 </t>
  </si>
  <si>
    <t>Fried, Frank, Harris, Shriver &amp; Jacobson </t>
  </si>
  <si>
    <t>£173,000 </t>
  </si>
  <si>
    <t>Gateley </t>
  </si>
  <si>
    <t>Gibson, Dunn &amp; Crutcher </t>
  </si>
  <si>
    <t>Goodwin </t>
  </si>
  <si>
    <t>£175,000 </t>
  </si>
  <si>
    <t>Harbottle &amp; Lewis </t>
  </si>
  <si>
    <t>£80,000 </t>
  </si>
  <si>
    <t>Haynes and Boone </t>
  </si>
  <si>
    <t>HFW </t>
  </si>
  <si>
    <t>Hill Dickinson </t>
  </si>
  <si>
    <t>Hogan Lovells </t>
  </si>
  <si>
    <t>Howes Percival </t>
  </si>
  <si>
    <t>£28,000 </t>
  </si>
  <si>
    <t>£30,000 </t>
  </si>
  <si>
    <t>Irwin Mitchell </t>
  </si>
  <si>
    <t>K&amp;L Gates </t>
  </si>
  <si>
    <t>£110,000 </t>
  </si>
  <si>
    <t>Kennedys </t>
  </si>
  <si>
    <t>£43,000 </t>
  </si>
  <si>
    <t>Kingsley Napley </t>
  </si>
  <si>
    <t>£40,000 </t>
  </si>
  <si>
    <t>Kirkland &amp; Ellis </t>
  </si>
  <si>
    <t>Latham &amp; Watkins </t>
  </si>
  <si>
    <t>Lewis Silkin </t>
  </si>
  <si>
    <t>£45,250 </t>
  </si>
  <si>
    <t>£49,500 </t>
  </si>
  <si>
    <t>Macfarlanes </t>
  </si>
  <si>
    <t>£56,000 </t>
  </si>
  <si>
    <t>Maples Teesdale </t>
  </si>
  <si>
    <t>£40,230 </t>
  </si>
  <si>
    <t>£42,520 </t>
  </si>
  <si>
    <t>£72,450 </t>
  </si>
  <si>
    <t>Marriott Harrison </t>
  </si>
  <si>
    <t>Mayer Brown </t>
  </si>
  <si>
    <t>£135,000 </t>
  </si>
  <si>
    <t>McDermott</t>
  </si>
  <si>
    <t>Michelmores </t>
  </si>
  <si>
    <t>Mills &amp; Reeve </t>
  </si>
  <si>
    <t>£31,500 </t>
  </si>
  <si>
    <t>£34,000 </t>
  </si>
  <si>
    <t>Mishcon de Reya </t>
  </si>
  <si>
    <t>£47,500 </t>
  </si>
  <si>
    <t>£52,500 </t>
  </si>
  <si>
    <t>£95,000 </t>
  </si>
  <si>
    <t>Morgan, Lewis &amp; Bockius </t>
  </si>
  <si>
    <t>Morrison Foerster </t>
  </si>
  <si>
    <t>Muckle </t>
  </si>
  <si>
    <t>£44,750 </t>
  </si>
  <si>
    <t>Norton Rose Fulbright </t>
  </si>
  <si>
    <t>£120,000 </t>
  </si>
  <si>
    <t>Orrick, Herrington &amp; Sutcliffe </t>
  </si>
  <si>
    <t>Osborne Clarke </t>
  </si>
  <si>
    <t>Paul Hastings </t>
  </si>
  <si>
    <t>£68,000 </t>
  </si>
  <si>
    <t>Penningtons Manches Cooper </t>
  </si>
  <si>
    <t>Reed Smith </t>
  </si>
  <si>
    <t>Ropes &amp; Gray </t>
  </si>
  <si>
    <t>RPC </t>
  </si>
  <si>
    <t>Russell-Cooke </t>
  </si>
  <si>
    <t>RWK Goodman </t>
  </si>
  <si>
    <t>Sidley Austin </t>
  </si>
  <si>
    <t>Simmons &amp; Simmons </t>
  </si>
  <si>
    <t>Skadden, Arps, Meagher, &amp; Flom </t>
  </si>
  <si>
    <t>£58,000 </t>
  </si>
  <si>
    <t>£63,000 </t>
  </si>
  <si>
    <t>Slaughter and May </t>
  </si>
  <si>
    <t>£150,000 </t>
  </si>
  <si>
    <t>Squire Patton Boggs </t>
  </si>
  <si>
    <t>Stevens &amp; Bolton </t>
  </si>
  <si>
    <t>Sullivan &amp; Cromwell </t>
  </si>
  <si>
    <t>Taylor Wessing </t>
  </si>
  <si>
    <t>£115,000 </t>
  </si>
  <si>
    <t>Thomson Snell &amp; Passmore </t>
  </si>
  <si>
    <t>TLT </t>
  </si>
  <si>
    <t>£36,500 </t>
  </si>
  <si>
    <t>£62,000 </t>
  </si>
  <si>
    <t>Travers Smith </t>
  </si>
  <si>
    <t>£59,000 </t>
  </si>
  <si>
    <t>Trowers &amp; Hamlins </t>
  </si>
  <si>
    <t>Vinson &amp; Elkins </t>
  </si>
  <si>
    <t>£173,077 </t>
  </si>
  <si>
    <t>VWV </t>
  </si>
  <si>
    <t>Ward Hadaway </t>
  </si>
  <si>
    <t>£32,000 </t>
  </si>
  <si>
    <t>Watson Farley &amp; Williams </t>
  </si>
  <si>
    <t>£102,000 </t>
  </si>
  <si>
    <t>Wedlake Bell </t>
  </si>
  <si>
    <t>Weil, Gotshal &amp; Manges </t>
  </si>
  <si>
    <t>£170,000 </t>
  </si>
  <si>
    <t>White &amp; Case </t>
  </si>
  <si>
    <t>£67,000 </t>
  </si>
  <si>
    <t>Wilkin Chapman </t>
  </si>
  <si>
    <t>£24,500 </t>
  </si>
  <si>
    <t>£26,500 </t>
  </si>
  <si>
    <t>Willkie Farr &amp; Gallagher </t>
  </si>
  <si>
    <t>Wilsons </t>
  </si>
  <si>
    <t>£28,500 </t>
  </si>
  <si>
    <t>£30,500 </t>
  </si>
  <si>
    <t>Winckworth Sherwood </t>
  </si>
  <si>
    <t>£42,500 </t>
  </si>
  <si>
    <t>Withers </t>
  </si>
  <si>
    <t>£49,000 </t>
  </si>
  <si>
    <t>£90,000 </t>
  </si>
  <si>
    <t>Womble Bond Dickinson </t>
  </si>
  <si>
    <t>Source: https://www.chambersstudent.co.uk/law-firms/law-firm-salaries-compared</t>
  </si>
  <si>
    <t>£225,000 </t>
  </si>
  <si>
    <t>£215,000 </t>
  </si>
  <si>
    <t>Silver Circle Firm</t>
  </si>
  <si>
    <t>(Data not available for Herbert Smith Freehills)</t>
  </si>
  <si>
    <t>Magic Circle Firm</t>
  </si>
  <si>
    <t>PGDL</t>
  </si>
  <si>
    <t>BPC</t>
  </si>
  <si>
    <t>Lincoln's Inn</t>
  </si>
  <si>
    <t>Course Costs</t>
  </si>
  <si>
    <t>Inner Temple</t>
  </si>
  <si>
    <t>Middle Temple</t>
  </si>
  <si>
    <t>Gray's Inn</t>
  </si>
  <si>
    <t>Admission Fee</t>
  </si>
  <si>
    <t>Barrister Earnings</t>
  </si>
  <si>
    <t>% with Training Contract</t>
  </si>
  <si>
    <t>Sources: https://www.lawsociety.org.uk/topics/research/annual-statistics-report-2021</t>
  </si>
  <si>
    <t>https://www.lawsociety.org.uk/topics/research/annual-statistics-report-2022</t>
  </si>
  <si>
    <t>Inns of Court</t>
  </si>
  <si>
    <t>Barrister</t>
  </si>
  <si>
    <t>Solicitor</t>
  </si>
  <si>
    <t>LLM (SQE1&amp;2)</t>
  </si>
  <si>
    <t>Additional Fees</t>
  </si>
  <si>
    <t>Inns of Court Admissions Fee (Mean)</t>
  </si>
  <si>
    <t>Exam Fees</t>
  </si>
  <si>
    <t>Total Cost</t>
  </si>
  <si>
    <t>Table showing the costs of qualifying as either a barrister or as a solicitor (Gray’s Inn, 2025; Honourable Society of Lincoln’s Inn, 2025; Middle Temple, 2025; The Inner Temple, 2025; The University of Law, 2025a; The University of Law, 2025b; The University of Law, 2025c; The University of Law, 2025d)</t>
  </si>
  <si>
    <t>Cost of Qualifying</t>
  </si>
  <si>
    <t>Inns of Court Admission Fees</t>
  </si>
  <si>
    <t>Table showing the admission fees for the four Inns of Court (Gray's Inn, 2025; Honourable Society of Lincoln's Inn, 2025; Middle Temple, 2025; The Inner Temple, 2025)</t>
  </si>
  <si>
    <t>After five years:</t>
  </si>
  <si>
    <t>Table showing the percentage of each UK domiciled qualifying Bar course cohort to have obtained pupillage by degree grade (Bar Standards Board, 2023).</t>
  </si>
  <si>
    <t>Table showing the percentage of each UK domiciled qualifying Bar course cohort (2011-2019) to have obtained pupillage by degree grade (Bar Standards Board, 2023).</t>
  </si>
  <si>
    <t>Costs of qualifying</t>
  </si>
  <si>
    <t>Payoff when Success = Total earnings in first 3 years - Costs of qualifying</t>
  </si>
  <si>
    <t>Column1</t>
  </si>
  <si>
    <t>Payoff when Failure = Zero earnings - Costs of qualifying</t>
  </si>
  <si>
    <t>Note that the mean was used here rather than the median as this was the most accurate value when compared to other sources</t>
  </si>
  <si>
    <t>Source: https://www.whatdotheyknow.com/request/admissions_and_degree_classifica</t>
  </si>
  <si>
    <t>Year</t>
  </si>
  <si>
    <t>% First</t>
  </si>
  <si>
    <t>% 2:1</t>
  </si>
  <si>
    <t>Probability</t>
  </si>
  <si>
    <t>Pr(High)=0.655</t>
  </si>
  <si>
    <t>Pr(Low)=0.325</t>
  </si>
  <si>
    <t>Table showing the percentages of UCL BASc Arts and Sciences graduates who were awarded First Class and Upper Second Class Honours, according to information from a FOI request made in 2023</t>
  </si>
  <si>
    <t>Cost of additional study</t>
  </si>
  <si>
    <t>Payoff with High grade</t>
  </si>
  <si>
    <t>Payoffwith Low grade</t>
  </si>
  <si>
    <t>Cost of additional study guides</t>
  </si>
  <si>
    <t>Source: https://www.waterstones.com/book/sqe-law-essentials-bundle-4e/the-university-of-law/9781805021940</t>
  </si>
  <si>
    <t>(BPC study guides have a similar cost)</t>
  </si>
  <si>
    <t>From 'BASc Grades' sheet:</t>
  </si>
  <si>
    <t>Pr(High)</t>
  </si>
  <si>
    <t>Pr(Low)</t>
  </si>
  <si>
    <t>2:2</t>
  </si>
  <si>
    <t>Academic year of enrolment</t>
  </si>
  <si>
    <t>Enrolments by year overall</t>
  </si>
  <si>
    <t>By domicile</t>
  </si>
  <si>
    <t>% UK</t>
  </si>
  <si>
    <t>Number UK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</si>
  <si>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</si>
  <si>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</si>
  <si>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</si>
  <si>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</si>
  <si>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</si>
  <si>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</si>
  <si>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</si>
  <si>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</si>
  <si>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</si>
  <si>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</si>
  <si>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</si>
  <si>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By year overall</t>
  </si>
  <si>
    <t>Enrolments</t>
  </si>
  <si>
    <t>Number UK (to nearest integer)</t>
  </si>
  <si>
    <t>Pr(Other)=1-Pr(High)-Pr(Low)=0.655-0.325=0.02</t>
  </si>
  <si>
    <t>% Other</t>
  </si>
  <si>
    <t>Pr(Other)</t>
  </si>
  <si>
    <t>Posterior (Player 2)</t>
  </si>
  <si>
    <t>Pr(Success|H)</t>
  </si>
  <si>
    <t>Pr(Failure|H)</t>
  </si>
  <si>
    <t>Pr(Success|L)</t>
  </si>
  <si>
    <t>Pr(Failure|L)</t>
  </si>
  <si>
    <t>Prior (Player 1)</t>
  </si>
  <si>
    <t>Pr(H|Success)</t>
  </si>
  <si>
    <t>Pr(L|Success)</t>
  </si>
  <si>
    <t>Pr(H|Failure)</t>
  </si>
  <si>
    <t>Pr(L|Failure)</t>
  </si>
  <si>
    <t>&lt;- Since Pr(Other) is relatively small, the calcuated value of Pr(L|Success) is the same using Bayes' Rule as using 1-Pr(H|Success), and the same is true for Pr(L|Failure)</t>
  </si>
  <si>
    <t>Calculations</t>
  </si>
  <si>
    <t>By Bayes' Rule</t>
  </si>
  <si>
    <t>Beliefs</t>
  </si>
  <si>
    <t>Payoffs for Player 2 (me)</t>
  </si>
  <si>
    <t>Information Sets</t>
  </si>
  <si>
    <t>Using Bayes' Theorem to solve the information sets for Player 2 (me)</t>
  </si>
  <si>
    <t>Bayes' Theorem:</t>
  </si>
  <si>
    <t>where P(A) is the prior probability and P(A|B) is the posterior probability.</t>
  </si>
  <si>
    <t>% 2:2</t>
  </si>
  <si>
    <t>Num. First</t>
  </si>
  <si>
    <t>Num. 2:1</t>
  </si>
  <si>
    <t>Num. 2:2</t>
  </si>
  <si>
    <t>First degree classification (Num.s to nearest integer)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</si>
</sst>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£&quot;#,##0_);[Red]\(&quot;£&quot;#,##0\)"/>
    <numFmt numFmtId="164" formatCode="&quot;£&quot;#,##0"/>
    <numFmt numFmtId="165" formatCode="&quot;£&quot;#,##0.00"/>
    <numFmt numFmtId="166" formatCode="0.000"/>
  </numFmts>
  <fonts count="15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10"/>
      <color theme="1"/>
      <name val="Calibri"/>
      <family val="2"/>
    </font>
    <font>
      <b/>
      <sz val="12"/>
      <name val="Aptos Narrow"/>
      <scheme val="minor"/>
    </font>
    <font>
      <sz val="12"/>
      <name val="Aptos Narrow"/>
      <scheme val="minor"/>
    </font>
    <font>
      <sz val="12"/>
      <color rgb="FF000000"/>
      <name val="Aptos Narrow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  <font>
      <i/>
      <sz val="12"/>
      <color theme="1"/>
      <name val="Aptos Narrow"/>
      <scheme val="minor"/>
    </font>
    <font>
      <sz val="18"/>
      <color theme="1"/>
      <name val="Aptos Narrow"/>
      <scheme val="minor"/>
    </font>
    <font>
      <sz val="18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139">
    <xf numFmtId="0" fontId="0" fillId="0" borderId="0" xfId="0"/>
    <xf numFmtId="49" fontId="0" fillId="0" borderId="0" xfId="0" applyNumberFormat="1"/>
    <xf numFmtId="6" fontId="0" fillId="0" borderId="0" xfId="0" applyNumberFormat="1"/>
    <xf numFmtId="3" fontId="0" fillId="0" borderId="0" xfId="0" applyNumberFormat="1"/>
    <xf numFmtId="164" fontId="0" fillId="0" borderId="0" xfId="0" applyNumberFormat="1"/>
    <xf numFmtId="0" fontId="1" fillId="0" borderId="0" xfId="0" applyFont="1"/>
    <xf numFmtId="2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0" xfId="0" applyAlignment="1">
      <alignment horizontal="center"/>
    </xf>
    <xf numFmtId="0" fontId="0" fillId="0" borderId="9" xfId="0" applyBorder="1"/>
    <xf numFmtId="0" fontId="0" fillId="0" borderId="8" xfId="0" applyBorder="1" applyAlignment="1">
      <alignment horizontal="center"/>
    </xf>
    <xf numFmtId="0" fontId="4" fillId="0" borderId="3" xfId="0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2" fontId="0" fillId="0" borderId="0" xfId="1" applyNumberFormat="1" applyFont="1"/>
    <xf numFmtId="0" fontId="5" fillId="0" borderId="0" xfId="2"/>
    <xf numFmtId="0" fontId="6" fillId="0" borderId="0" xfId="0" applyFont="1"/>
    <xf numFmtId="0" fontId="4" fillId="0" borderId="0" xfId="0" applyFont="1"/>
    <xf numFmtId="0" fontId="8" fillId="0" borderId="0" xfId="2" applyFont="1"/>
    <xf numFmtId="0" fontId="8" fillId="0" borderId="0" xfId="0" applyFont="1"/>
    <xf numFmtId="164" fontId="8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4" fontId="4" fillId="0" borderId="0" xfId="0" applyNumberFormat="1" applyFont="1"/>
    <xf numFmtId="164" fontId="0" fillId="0" borderId="0" xfId="0" applyNumberFormat="1" applyAlignment="1">
      <alignment horizontal="center"/>
    </xf>
    <xf numFmtId="0" fontId="7" fillId="0" borderId="7" xfId="0" applyFont="1" applyBorder="1" applyAlignment="1">
      <alignment horizontal="center"/>
    </xf>
    <xf numFmtId="164" fontId="8" fillId="0" borderId="2" xfId="0" applyNumberFormat="1" applyFont="1" applyBorder="1" applyAlignment="1">
      <alignment horizontal="left"/>
    </xf>
    <xf numFmtId="164" fontId="8" fillId="0" borderId="2" xfId="0" applyNumberFormat="1" applyFont="1" applyBorder="1" applyAlignment="1">
      <alignment horizontal="center"/>
    </xf>
    <xf numFmtId="164" fontId="0" fillId="0" borderId="2" xfId="0" applyNumberFormat="1" applyBorder="1"/>
    <xf numFmtId="0" fontId="8" fillId="0" borderId="8" xfId="2" applyFont="1" applyBorder="1"/>
    <xf numFmtId="164" fontId="8" fillId="0" borderId="8" xfId="0" applyNumberFormat="1" applyFont="1" applyBorder="1" applyAlignment="1">
      <alignment horizontal="center"/>
    </xf>
    <xf numFmtId="164" fontId="0" fillId="0" borderId="8" xfId="0" applyNumberFormat="1" applyBorder="1"/>
    <xf numFmtId="0" fontId="0" fillId="0" borderId="8" xfId="0" applyBorder="1"/>
    <xf numFmtId="164" fontId="1" fillId="0" borderId="0" xfId="0" applyNumberFormat="1" applyFont="1"/>
    <xf numFmtId="164" fontId="1" fillId="0" borderId="10" xfId="0" applyNumberFormat="1" applyFont="1" applyBorder="1" applyAlignment="1">
      <alignment horizontal="center"/>
    </xf>
    <xf numFmtId="0" fontId="0" fillId="0" borderId="2" xfId="0" applyBorder="1"/>
    <xf numFmtId="0" fontId="1" fillId="0" borderId="8" xfId="0" applyFont="1" applyBorder="1"/>
    <xf numFmtId="3" fontId="0" fillId="0" borderId="8" xfId="0" applyNumberFormat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7" xfId="0" applyFont="1" applyBorder="1"/>
    <xf numFmtId="1" fontId="0" fillId="0" borderId="0" xfId="0" applyNumberFormat="1" applyAlignment="1">
      <alignment horizontal="center"/>
    </xf>
    <xf numFmtId="0" fontId="1" fillId="0" borderId="7" xfId="0" applyFont="1" applyBorder="1" applyAlignment="1">
      <alignment horizontal="center"/>
    </xf>
    <xf numFmtId="2" fontId="0" fillId="0" borderId="7" xfId="0" applyNumberFormat="1" applyBorder="1"/>
    <xf numFmtId="6" fontId="4" fillId="0" borderId="0" xfId="0" applyNumberFormat="1" applyFont="1"/>
    <xf numFmtId="164" fontId="0" fillId="0" borderId="7" xfId="0" applyNumberFormat="1" applyBorder="1"/>
    <xf numFmtId="6" fontId="0" fillId="0" borderId="2" xfId="0" applyNumberFormat="1" applyBorder="1"/>
    <xf numFmtId="6" fontId="0" fillId="0" borderId="8" xfId="0" applyNumberFormat="1" applyBorder="1"/>
    <xf numFmtId="6" fontId="0" fillId="0" borderId="0" xfId="0" applyNumberFormat="1" applyAlignment="1">
      <alignment horizontal="center"/>
    </xf>
    <xf numFmtId="165" fontId="1" fillId="0" borderId="0" xfId="0" applyNumberFormat="1" applyFont="1"/>
    <xf numFmtId="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8" xfId="0" applyFont="1" applyBorder="1"/>
    <xf numFmtId="165" fontId="4" fillId="0" borderId="0" xfId="0" applyNumberFormat="1" applyFont="1"/>
    <xf numFmtId="0" fontId="4" fillId="0" borderId="7" xfId="0" applyFont="1" applyBorder="1"/>
    <xf numFmtId="0" fontId="1" fillId="0" borderId="8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6" fontId="9" fillId="0" borderId="4" xfId="0" applyNumberFormat="1" applyFont="1" applyBorder="1" applyAlignment="1">
      <alignment horizontal="center" vertical="center"/>
    </xf>
    <xf numFmtId="6" fontId="9" fillId="0" borderId="0" xfId="0" applyNumberFormat="1" applyFont="1" applyAlignment="1">
      <alignment horizontal="center" vertical="center"/>
    </xf>
    <xf numFmtId="0" fontId="9" fillId="0" borderId="9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6" fontId="9" fillId="0" borderId="9" xfId="0" applyNumberFormat="1" applyFont="1" applyBorder="1" applyAlignment="1">
      <alignment horizontal="center" vertical="center"/>
    </xf>
    <xf numFmtId="6" fontId="9" fillId="0" borderId="8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7" xfId="0" applyFont="1" applyBorder="1" applyAlignment="1">
      <alignment vertical="center"/>
    </xf>
    <xf numFmtId="6" fontId="9" fillId="0" borderId="11" xfId="0" applyNumberFormat="1" applyFont="1" applyBorder="1" applyAlignment="1">
      <alignment horizontal="center" vertical="center"/>
    </xf>
    <xf numFmtId="6" fontId="9" fillId="0" borderId="7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6" fontId="10" fillId="0" borderId="11" xfId="0" applyNumberFormat="1" applyFont="1" applyBorder="1" applyAlignment="1">
      <alignment horizontal="center" vertical="center"/>
    </xf>
    <xf numFmtId="6" fontId="10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11" xfId="0" applyBorder="1"/>
    <xf numFmtId="49" fontId="0" fillId="0" borderId="3" xfId="0" applyNumberFormat="1" applyBorder="1" applyAlignment="1">
      <alignment horizontal="center"/>
    </xf>
    <xf numFmtId="0" fontId="11" fillId="0" borderId="0" xfId="0" applyFont="1" applyAlignment="1">
      <alignment horizontal="center"/>
    </xf>
    <xf numFmtId="1" fontId="0" fillId="0" borderId="0" xfId="1" applyNumberFormat="1" applyFont="1" applyAlignment="1">
      <alignment horizontal="center"/>
    </xf>
    <xf numFmtId="1" fontId="0" fillId="0" borderId="0" xfId="1" applyNumberFormat="1" applyFont="1" applyFill="1" applyBorder="1" applyAlignment="1">
      <alignment horizontal="center"/>
    </xf>
    <xf numFmtId="0" fontId="0" fillId="0" borderId="7" xfId="0" applyBorder="1" applyAlignment="1">
      <alignment horizontal="left"/>
    </xf>
    <xf numFmtId="1" fontId="0" fillId="0" borderId="7" xfId="0" applyNumberFormat="1" applyBorder="1"/>
    <xf numFmtId="166" fontId="4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6" fontId="1" fillId="0" borderId="0" xfId="0" applyNumberFormat="1" applyFont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4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" fillId="0" borderId="6" xfId="0" applyFont="1" applyBorder="1"/>
    <xf numFmtId="0" fontId="0" fillId="0" borderId="11" xfId="0" applyBorder="1" applyAlignment="1">
      <alignment horizontal="center"/>
    </xf>
    <xf numFmtId="0" fontId="0" fillId="0" borderId="12" xfId="0" applyBorder="1"/>
    <xf numFmtId="166" fontId="0" fillId="0" borderId="1" xfId="0" applyNumberFormat="1" applyBorder="1" applyAlignment="1">
      <alignment horizontal="center"/>
    </xf>
    <xf numFmtId="166" fontId="1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14" fillId="0" borderId="0" xfId="0" applyFont="1"/>
    <xf numFmtId="0" fontId="2" fillId="2" borderId="13" xfId="3" applyBorder="1" applyAlignment="1">
      <alignment horizontal="left"/>
    </xf>
    <xf numFmtId="0" fontId="2" fillId="2" borderId="12" xfId="3" applyBorder="1"/>
    <xf numFmtId="1" fontId="2" fillId="2" borderId="1" xfId="3" applyNumberFormat="1" applyBorder="1"/>
    <xf numFmtId="0" fontId="2" fillId="2" borderId="6" xfId="3" applyBorder="1"/>
    <xf numFmtId="1" fontId="2" fillId="2" borderId="11" xfId="3" applyNumberFormat="1" applyBorder="1"/>
    <xf numFmtId="1" fontId="0" fillId="0" borderId="0" xfId="1" applyNumberFormat="1" applyFont="1" applyAlignment="1"/>
    <xf numFmtId="0" fontId="0" fillId="0" borderId="6" xfId="0" applyBorder="1"/>
    <xf numFmtId="0" fontId="1" fillId="0" borderId="15" xfId="0" applyFont="1" applyBorder="1"/>
    <xf numFmtId="0" fontId="1" fillId="0" borderId="17" xfId="0" applyFont="1" applyBorder="1" applyAlignment="1">
      <alignment horizontal="left"/>
    </xf>
    <xf numFmtId="0" fontId="1" fillId="0" borderId="16" xfId="0" applyFont="1" applyBorder="1"/>
    <xf numFmtId="0" fontId="1" fillId="0" borderId="13" xfId="0" applyFont="1" applyBorder="1"/>
    <xf numFmtId="1" fontId="0" fillId="0" borderId="18" xfId="1" applyNumberFormat="1" applyFont="1" applyBorder="1" applyAlignment="1"/>
    <xf numFmtId="1" fontId="0" fillId="0" borderId="2" xfId="1" applyNumberFormat="1" applyFont="1" applyBorder="1" applyAlignment="1"/>
    <xf numFmtId="1" fontId="0" fillId="0" borderId="2" xfId="1" applyNumberFormat="1" applyFont="1" applyBorder="1" applyAlignment="1">
      <alignment horizontal="center"/>
    </xf>
    <xf numFmtId="0" fontId="0" fillId="0" borderId="4" xfId="0" applyBorder="1"/>
    <xf numFmtId="1" fontId="0" fillId="0" borderId="6" xfId="1" applyNumberFormat="1" applyFont="1" applyBorder="1" applyAlignment="1">
      <alignment horizontal="center"/>
    </xf>
    <xf numFmtId="1" fontId="0" fillId="0" borderId="7" xfId="1" applyNumberFormat="1" applyFont="1" applyBorder="1" applyAlignment="1">
      <alignment horizontal="center"/>
    </xf>
    <xf numFmtId="1" fontId="0" fillId="0" borderId="11" xfId="1" applyNumberFormat="1" applyFont="1" applyFill="1" applyBorder="1" applyAlignment="1">
      <alignment horizontal="center"/>
    </xf>
    <xf numFmtId="1" fontId="2" fillId="2" borderId="11" xfId="3" applyNumberFormat="1" applyBorder="1" applyAlignment="1"/>
    <xf numFmtId="2" fontId="0" fillId="0" borderId="0" xfId="1" applyNumberFormat="1" applyFont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1" fontId="0" fillId="0" borderId="1" xfId="1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7" xfId="0" applyBorder="1"/>
    <xf numFmtId="0" fontId="2" fillId="2" borderId="6" xfId="3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</cellXfs>
  <cellStyles count="4">
    <cellStyle name="20% - Accent1" xfId="3" builtinId="30"/>
    <cellStyle name="Hyperlink" xfId="2" builtinId="8"/>
    <cellStyle name="Normal" xfId="0" builtinId="0"/>
    <cellStyle name="Per cent" xfId="1" builtinId="5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scheme val="minor"/>
      </font>
      <alignment horizontal="center" vertical="bottom" textRotation="0" wrapText="0" indent="0" justifyLastLine="0" shrinkToFit="0" readingOrder="0"/>
    </dxf>
    <dxf>
      <numFmt numFmtId="2" formatCode="0.0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4" formatCode="&quot;£&quot;#,##0"/>
      <alignment horizontal="center" vertical="bottom" textRotation="0" wrapText="0" indent="0" justifyLastLine="0" shrinkToFit="0" readingOrder="0"/>
    </dxf>
    <dxf>
      <numFmt numFmtId="164" formatCode="&quot;£&quot;#,##0"/>
      <alignment horizontal="center" vertical="bottom" textRotation="0" wrapText="0" indent="0" justifyLastLine="0" shrinkToFit="0" readingOrder="0"/>
    </dxf>
    <dxf>
      <numFmt numFmtId="164" formatCode="&quot;£&quot;#,##0"/>
      <alignment horizontal="center" vertical="bottom" textRotation="0" wrapText="0" indent="0" justifyLastLine="0" shrinkToFit="0" readingOrder="0"/>
    </dxf>
    <dxf>
      <numFmt numFmtId="164" formatCode="&quot;£&quot;#,##0"/>
      <alignment horizontal="center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+mn-lt"/>
              </a:rPr>
              <a:t>Graph of the percentage of each UK domiciled qualifying Bar course cohort to have obtained pupillage by degree grade (Bar Standards Board, 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'Probability - Barrister'!$B$22</c:f>
              <c:strCache>
                <c:ptCount val="1"/>
                <c:pt idx="0">
                  <c:v>First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'Probability - Barrister'!$A$23:$A$29</c:f>
              <c:strCache>
                <c:ptCount val="7"/>
                <c:pt idx="0">
                  <c:v>2011/12 - 2012/13</c:v>
                </c:pt>
                <c:pt idx="1">
                  <c:v>2013/14 - 2014/15</c:v>
                </c:pt>
                <c:pt idx="2">
                  <c:v>2015/16 - 2016/17</c:v>
                </c:pt>
                <c:pt idx="3">
                  <c:v>2017/18 - 2018/19</c:v>
                </c:pt>
                <c:pt idx="4">
                  <c:v>2019/20</c:v>
                </c:pt>
                <c:pt idx="5">
                  <c:v>2020/21</c:v>
                </c:pt>
                <c:pt idx="6">
                  <c:v>2021/22</c:v>
                </c:pt>
              </c:strCache>
            </c:strRef>
          </c:cat>
          <c:val>
            <c:numRef>
              <c:f>'Probability - Barrister'!$B$23:$B$29</c:f>
              <c:numCache>
                <c:formatCode>General</c:formatCode>
                <c:ptCount val="7"/>
                <c:pt idx="0">
                  <c:v>61</c:v>
                </c:pt>
                <c:pt idx="1">
                  <c:v>62</c:v>
                </c:pt>
                <c:pt idx="2">
                  <c:v>70</c:v>
                </c:pt>
                <c:pt idx="3">
                  <c:v>57</c:v>
                </c:pt>
                <c:pt idx="4">
                  <c:v>52</c:v>
                </c:pt>
                <c:pt idx="5">
                  <c:v>42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D-244A-8F36-B219B764F06D}"/>
            </c:ext>
          </c:extLst>
        </c:ser>
        <c:ser>
          <c:idx val="1"/>
          <c:order val="1"/>
          <c:tx>
            <c:strRef>
              <c:f>'Probability - Barrister'!$C$22</c:f>
              <c:strCache>
                <c:ptCount val="1"/>
                <c:pt idx="0">
                  <c:v>2:1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'Probability - Barrister'!$A$23:$A$29</c:f>
              <c:strCache>
                <c:ptCount val="7"/>
                <c:pt idx="0">
                  <c:v>2011/12 - 2012/13</c:v>
                </c:pt>
                <c:pt idx="1">
                  <c:v>2013/14 - 2014/15</c:v>
                </c:pt>
                <c:pt idx="2">
                  <c:v>2015/16 - 2016/17</c:v>
                </c:pt>
                <c:pt idx="3">
                  <c:v>2017/18 - 2018/19</c:v>
                </c:pt>
                <c:pt idx="4">
                  <c:v>2019/20</c:v>
                </c:pt>
                <c:pt idx="5">
                  <c:v>2020/21</c:v>
                </c:pt>
                <c:pt idx="6">
                  <c:v>2021/22</c:v>
                </c:pt>
              </c:strCache>
            </c:strRef>
          </c:cat>
          <c:val>
            <c:numRef>
              <c:f>'Probability - Barrister'!$C$23:$C$29</c:f>
              <c:numCache>
                <c:formatCode>General</c:formatCode>
                <c:ptCount val="7"/>
                <c:pt idx="0">
                  <c:v>36</c:v>
                </c:pt>
                <c:pt idx="1">
                  <c:v>40</c:v>
                </c:pt>
                <c:pt idx="2">
                  <c:v>43</c:v>
                </c:pt>
                <c:pt idx="3">
                  <c:v>35</c:v>
                </c:pt>
                <c:pt idx="4">
                  <c:v>30</c:v>
                </c:pt>
                <c:pt idx="5">
                  <c:v>19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0D-244A-8F36-B219B764F06D}"/>
            </c:ext>
          </c:extLst>
        </c:ser>
        <c:ser>
          <c:idx val="2"/>
          <c:order val="2"/>
          <c:tx>
            <c:strRef>
              <c:f>'Probability - Barrister'!$D$22</c:f>
              <c:strCache>
                <c:ptCount val="1"/>
                <c:pt idx="0">
                  <c:v>2:2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'Probability - Barrister'!$A$23:$A$29</c:f>
              <c:strCache>
                <c:ptCount val="7"/>
                <c:pt idx="0">
                  <c:v>2011/12 - 2012/13</c:v>
                </c:pt>
                <c:pt idx="1">
                  <c:v>2013/14 - 2014/15</c:v>
                </c:pt>
                <c:pt idx="2">
                  <c:v>2015/16 - 2016/17</c:v>
                </c:pt>
                <c:pt idx="3">
                  <c:v>2017/18 - 2018/19</c:v>
                </c:pt>
                <c:pt idx="4">
                  <c:v>2019/20</c:v>
                </c:pt>
                <c:pt idx="5">
                  <c:v>2020/21</c:v>
                </c:pt>
                <c:pt idx="6">
                  <c:v>2021/22</c:v>
                </c:pt>
              </c:strCache>
            </c:strRef>
          </c:cat>
          <c:val>
            <c:numRef>
              <c:f>'Probability - Barrister'!$D$23:$D$29</c:f>
              <c:numCache>
                <c:formatCode>General</c:formatCode>
                <c:ptCount val="7"/>
                <c:pt idx="0">
                  <c:v>9</c:v>
                </c:pt>
                <c:pt idx="1">
                  <c:v>9</c:v>
                </c:pt>
                <c:pt idx="2">
                  <c:v>12</c:v>
                </c:pt>
                <c:pt idx="3">
                  <c:v>7</c:v>
                </c:pt>
                <c:pt idx="4" formatCode="0">
                  <c:v>2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3-CC4E-A21E-6C49D68C3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906591"/>
        <c:axId val="233411503"/>
      </c:barChart>
      <c:catAx>
        <c:axId val="232906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  <a:r>
                  <a:rPr lang="en-GB" baseline="0"/>
                  <a:t> of graduation from qualifying Bar course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411503"/>
        <c:crosses val="autoZero"/>
        <c:auto val="1"/>
        <c:lblAlgn val="ctr"/>
        <c:lblOffset val="100"/>
        <c:noMultiLvlLbl val="0"/>
      </c:catAx>
      <c:valAx>
        <c:axId val="23341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  <a:r>
                  <a:rPr lang="en-GB" baseline="0"/>
                  <a:t> obtained pupillage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90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'Probability - Barrister'!$A$63</c:f>
              <c:strCache>
                <c:ptCount val="1"/>
                <c:pt idx="0">
                  <c:v>% First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'Probability - Barrister'!$A$64:$A$74</c:f>
              <c:numCache>
                <c:formatCode>0.00</c:formatCode>
                <c:ptCount val="11"/>
                <c:pt idx="0">
                  <c:v>0.13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0.18</c:v>
                </c:pt>
                <c:pt idx="4">
                  <c:v>0.18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0.22</c:v>
                </c:pt>
                <c:pt idx="9">
                  <c:v>0.23</c:v>
                </c:pt>
                <c:pt idx="10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43-EB40-9319-80592C7F799F}"/>
            </c:ext>
          </c:extLst>
        </c:ser>
        <c:ser>
          <c:idx val="1"/>
          <c:order val="1"/>
          <c:tx>
            <c:strRef>
              <c:f>'Probability - Barrister'!$B$63</c:f>
              <c:strCache>
                <c:ptCount val="1"/>
                <c:pt idx="0">
                  <c:v>% 2:1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'Probability - Barrister'!$B$64:$B$74</c:f>
              <c:numCache>
                <c:formatCode>0.00</c:formatCode>
                <c:ptCount val="11"/>
                <c:pt idx="0">
                  <c:v>0.5</c:v>
                </c:pt>
                <c:pt idx="1">
                  <c:v>0.49</c:v>
                </c:pt>
                <c:pt idx="2">
                  <c:v>0.5</c:v>
                </c:pt>
                <c:pt idx="3">
                  <c:v>0.53</c:v>
                </c:pt>
                <c:pt idx="4">
                  <c:v>0.54</c:v>
                </c:pt>
                <c:pt idx="5">
                  <c:v>0.56000000000000005</c:v>
                </c:pt>
                <c:pt idx="6">
                  <c:v>0.53</c:v>
                </c:pt>
                <c:pt idx="7">
                  <c:v>0.53</c:v>
                </c:pt>
                <c:pt idx="8">
                  <c:v>0.56999999999999995</c:v>
                </c:pt>
                <c:pt idx="9">
                  <c:v>0.48</c:v>
                </c:pt>
                <c:pt idx="10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43-EB40-9319-80592C7F799F}"/>
            </c:ext>
          </c:extLst>
        </c:ser>
        <c:ser>
          <c:idx val="2"/>
          <c:order val="2"/>
          <c:tx>
            <c:strRef>
              <c:f>'Probability - Barrister'!$C$63</c:f>
              <c:strCache>
                <c:ptCount val="1"/>
                <c:pt idx="0">
                  <c:v>% 2:2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'Probability - Barrister'!$C$64:$C$74</c:f>
              <c:numCache>
                <c:formatCode>0.00</c:formatCode>
                <c:ptCount val="11"/>
                <c:pt idx="0">
                  <c:v>0.25</c:v>
                </c:pt>
                <c:pt idx="1">
                  <c:v>0.27</c:v>
                </c:pt>
                <c:pt idx="2">
                  <c:v>0.25</c:v>
                </c:pt>
                <c:pt idx="3">
                  <c:v>0.25</c:v>
                </c:pt>
                <c:pt idx="4">
                  <c:v>0.21</c:v>
                </c:pt>
                <c:pt idx="5">
                  <c:v>0.18</c:v>
                </c:pt>
                <c:pt idx="6">
                  <c:v>0.2</c:v>
                </c:pt>
                <c:pt idx="7">
                  <c:v>0.17</c:v>
                </c:pt>
                <c:pt idx="8">
                  <c:v>0.16</c:v>
                </c:pt>
                <c:pt idx="9">
                  <c:v>0.21</c:v>
                </c:pt>
                <c:pt idx="10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43-EB40-9319-80592C7F7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998816"/>
        <c:axId val="311000544"/>
      </c:lineChart>
      <c:catAx>
        <c:axId val="31099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00544"/>
        <c:crosses val="autoZero"/>
        <c:auto val="1"/>
        <c:lblAlgn val="ctr"/>
        <c:lblOffset val="100"/>
        <c:noMultiLvlLbl val="0"/>
      </c:catAx>
      <c:valAx>
        <c:axId val="3110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9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88900</xdr:colOff>
      <xdr:row>4</xdr:row>
      <xdr:rowOff>6350</xdr:rowOff>
    </xdr:from>
    <xdr:ext cx="304800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39790C2-BC01-3BCB-834B-EC357A417AB7}"/>
                </a:ext>
              </a:extLst>
            </xdr:cNvPr>
            <xdr:cNvSpPr txBox="1"/>
          </xdr:nvSpPr>
          <xdr:spPr>
            <a:xfrm>
              <a:off x="88900" y="209550"/>
              <a:ext cx="30480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39790C2-BC01-3BCB-834B-EC357A417AB7}"/>
                </a:ext>
              </a:extLst>
            </xdr:cNvPr>
            <xdr:cNvSpPr txBox="1"/>
          </xdr:nvSpPr>
          <xdr:spPr>
            <a:xfrm>
              <a:off x="88900" y="209550"/>
              <a:ext cx="30480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127000</xdr:colOff>
      <xdr:row>8</xdr:row>
      <xdr:rowOff>6350</xdr:rowOff>
    </xdr:from>
    <xdr:ext cx="266699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CD6DA54-2694-6E4F-AE2E-3F85AD9660E6}"/>
                </a:ext>
              </a:extLst>
            </xdr:cNvPr>
            <xdr:cNvSpPr txBox="1"/>
          </xdr:nvSpPr>
          <xdr:spPr>
            <a:xfrm flipH="1">
              <a:off x="127000" y="1022350"/>
              <a:ext cx="266699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𝛾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CD6DA54-2694-6E4F-AE2E-3F85AD9660E6}"/>
                </a:ext>
              </a:extLst>
            </xdr:cNvPr>
            <xdr:cNvSpPr txBox="1"/>
          </xdr:nvSpPr>
          <xdr:spPr>
            <a:xfrm flipH="1">
              <a:off x="127000" y="1022350"/>
              <a:ext cx="266699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6</xdr:row>
      <xdr:rowOff>25400</xdr:rowOff>
    </xdr:from>
    <xdr:ext cx="533400" cy="1801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44A83BE-F3BD-E643-C695-29AD1739A70D}"/>
                </a:ext>
              </a:extLst>
            </xdr:cNvPr>
            <xdr:cNvSpPr txBox="1"/>
          </xdr:nvSpPr>
          <xdr:spPr>
            <a:xfrm>
              <a:off x="0" y="635000"/>
              <a:ext cx="533400" cy="1801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1−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44A83BE-F3BD-E643-C695-29AD1739A70D}"/>
                </a:ext>
              </a:extLst>
            </xdr:cNvPr>
            <xdr:cNvSpPr txBox="1"/>
          </xdr:nvSpPr>
          <xdr:spPr>
            <a:xfrm>
              <a:off x="0" y="635000"/>
              <a:ext cx="533400" cy="1801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1−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10</xdr:row>
      <xdr:rowOff>31750</xdr:rowOff>
    </xdr:from>
    <xdr:ext cx="520700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F03A8E5-4B2B-9688-8580-26760897C12E}"/>
                </a:ext>
              </a:extLst>
            </xdr:cNvPr>
            <xdr:cNvSpPr txBox="1"/>
          </xdr:nvSpPr>
          <xdr:spPr>
            <a:xfrm>
              <a:off x="0" y="1454150"/>
              <a:ext cx="52070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1−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𝛾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F03A8E5-4B2B-9688-8580-26760897C12E}"/>
                </a:ext>
              </a:extLst>
            </xdr:cNvPr>
            <xdr:cNvSpPr txBox="1"/>
          </xdr:nvSpPr>
          <xdr:spPr>
            <a:xfrm>
              <a:off x="0" y="1454150"/>
              <a:ext cx="52070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1−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114300</xdr:colOff>
      <xdr:row>16</xdr:row>
      <xdr:rowOff>19050</xdr:rowOff>
    </xdr:from>
    <xdr:ext cx="292100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CA6FB8C-FEC0-8688-FDE5-7AE8788D5060}"/>
                </a:ext>
              </a:extLst>
            </xdr:cNvPr>
            <xdr:cNvSpPr txBox="1"/>
          </xdr:nvSpPr>
          <xdr:spPr>
            <a:xfrm>
              <a:off x="114300" y="2457450"/>
              <a:ext cx="29210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CA6FB8C-FEC0-8688-FDE5-7AE8788D5060}"/>
                </a:ext>
              </a:extLst>
            </xdr:cNvPr>
            <xdr:cNvSpPr txBox="1"/>
          </xdr:nvSpPr>
          <xdr:spPr>
            <a:xfrm>
              <a:off x="114300" y="2457450"/>
              <a:ext cx="29210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18</xdr:row>
      <xdr:rowOff>19050</xdr:rowOff>
    </xdr:from>
    <xdr:ext cx="533400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1694532-0056-01AF-5BC6-1D6CD1C3B748}"/>
                </a:ext>
              </a:extLst>
            </xdr:cNvPr>
            <xdr:cNvSpPr txBox="1"/>
          </xdr:nvSpPr>
          <xdr:spPr>
            <a:xfrm>
              <a:off x="0" y="2863850"/>
              <a:ext cx="53340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1−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1694532-0056-01AF-5BC6-1D6CD1C3B748}"/>
                </a:ext>
              </a:extLst>
            </xdr:cNvPr>
            <xdr:cNvSpPr txBox="1"/>
          </xdr:nvSpPr>
          <xdr:spPr>
            <a:xfrm>
              <a:off x="0" y="2863850"/>
              <a:ext cx="53340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1−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152400</xdr:colOff>
      <xdr:row>20</xdr:row>
      <xdr:rowOff>31750</xdr:rowOff>
    </xdr:from>
    <xdr:ext cx="190500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B0749B1-1519-B055-159B-1235854A7450}"/>
                </a:ext>
              </a:extLst>
            </xdr:cNvPr>
            <xdr:cNvSpPr txBox="1"/>
          </xdr:nvSpPr>
          <xdr:spPr>
            <a:xfrm>
              <a:off x="152400" y="3282950"/>
              <a:ext cx="19050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B0749B1-1519-B055-159B-1235854A7450}"/>
                </a:ext>
              </a:extLst>
            </xdr:cNvPr>
            <xdr:cNvSpPr txBox="1"/>
          </xdr:nvSpPr>
          <xdr:spPr>
            <a:xfrm>
              <a:off x="152400" y="3282950"/>
              <a:ext cx="19050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63500</xdr:colOff>
      <xdr:row>22</xdr:row>
      <xdr:rowOff>19050</xdr:rowOff>
    </xdr:from>
    <xdr:ext cx="393700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092E682-DC8E-1530-861A-101520012AD6}"/>
                </a:ext>
              </a:extLst>
            </xdr:cNvPr>
            <xdr:cNvSpPr txBox="1"/>
          </xdr:nvSpPr>
          <xdr:spPr>
            <a:xfrm>
              <a:off x="63500" y="3676650"/>
              <a:ext cx="39370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1−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092E682-DC8E-1530-861A-101520012AD6}"/>
                </a:ext>
              </a:extLst>
            </xdr:cNvPr>
            <xdr:cNvSpPr txBox="1"/>
          </xdr:nvSpPr>
          <xdr:spPr>
            <a:xfrm>
              <a:off x="63500" y="3676650"/>
              <a:ext cx="39370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1−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38100</xdr:colOff>
      <xdr:row>29</xdr:row>
      <xdr:rowOff>107950</xdr:rowOff>
    </xdr:from>
    <xdr:ext cx="7931980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18B4EC1A-5C98-9097-9DB9-69A9BA7E6C53}"/>
                </a:ext>
              </a:extLst>
            </xdr:cNvPr>
            <xdr:cNvSpPr txBox="1"/>
          </xdr:nvSpPr>
          <xdr:spPr>
            <a:xfrm>
              <a:off x="38100" y="6000750"/>
              <a:ext cx="7931980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𝐵𝑎𝑟𝑟𝑖𝑠𝑡𝑒𝑟</m:t>
                        </m:r>
                      </m:sub>
                    </m:sSub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a:rPr lang="en-GB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</m:e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𝑆𝑢𝑐𝑐𝑒𝑠𝑠</m:t>
                            </m:r>
                          </m:e>
                        </m:d>
                      </m:e>
                    </m:func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</m:d>
                          </m:e>
                        </m:func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Pr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𝑆𝑢𝑐𝑐𝑒𝑠𝑠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𝐻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</m:d>
                          </m:e>
                        </m:func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𝑆𝑢𝑐𝑐𝑒𝑠𝑠</m:t>
                                </m:r>
                              </m:e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</m:d>
                          </m:e>
                        </m:func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𝐿</m:t>
                                </m:r>
                              </m:e>
                            </m:d>
                          </m:e>
                        </m:func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Pr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𝑆𝑢𝑐𝑐𝑒𝑠𝑠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0.655∗0.615</m:t>
                        </m:r>
                      </m:num>
                      <m:den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0.655∗0.615</m:t>
                            </m:r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+(0.325∗0.380)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=0.765 (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𝑡𝑜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3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.)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18B4EC1A-5C98-9097-9DB9-69A9BA7E6C53}"/>
                </a:ext>
              </a:extLst>
            </xdr:cNvPr>
            <xdr:cNvSpPr txBox="1"/>
          </xdr:nvSpPr>
          <xdr:spPr>
            <a:xfrm>
              <a:off x="38100" y="6000750"/>
              <a:ext cx="7931980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en-GB" sz="1100" b="0" i="0">
                  <a:latin typeface="Cambria Math" panose="02040503050406030204" pitchFamily="18" charset="0"/>
                </a:rPr>
                <a:t>𝐵𝑎𝑟𝑟𝑖𝑠𝑡𝑒𝑟 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〖=P</a:t>
              </a:r>
              <a:r>
                <a:rPr lang="en-GB" sz="1100" b="0" i="0">
                  <a:latin typeface="Cambria Math" panose="02040503050406030204" pitchFamily="18" charset="0"/>
                </a:rPr>
                <a:t>r〗⁡(𝐻│𝑆𝑢𝑐𝑐𝑒𝑠𝑠)=(Pr⁡(𝐻)Pr⁡(𝑆𝑢𝑐𝑐𝑒𝑠𝑠|𝐻))/(Pr⁡(𝐻)  Pr⁡(𝑆𝑢𝑐𝑐𝑒𝑠𝑠│𝐻)+Pr⁡(𝐿)Pr⁡(𝑆𝑢𝑐𝑐𝑒𝑠𝑠|𝐿))=(0.655∗0.615)/((0.655∗0.615)+(0.325∗0.380))=0.765 (𝑡𝑜 3 𝑠.𝑓.)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76200</xdr:colOff>
      <xdr:row>32</xdr:row>
      <xdr:rowOff>114300</xdr:rowOff>
    </xdr:from>
    <xdr:ext cx="7860806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53A74DBA-FE3C-BC49-8C90-BCA8158E69FD}"/>
                </a:ext>
              </a:extLst>
            </xdr:cNvPr>
            <xdr:cNvSpPr txBox="1"/>
          </xdr:nvSpPr>
          <xdr:spPr>
            <a:xfrm>
              <a:off x="76200" y="6616700"/>
              <a:ext cx="7860806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𝐵𝑎𝑟𝑟𝑖𝑠𝑡𝑒𝑟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</m:e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𝐹𝑎𝑖𝑙𝑢𝑟𝑒</m:t>
                            </m:r>
                          </m:e>
                        </m:d>
                      </m:e>
                    </m:func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</m:d>
                          </m:e>
                        </m:func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Pr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𝐹𝑎𝑖𝑙𝑢𝑟𝑒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𝐻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</m:d>
                          </m:e>
                        </m:func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𝐹𝑎𝑖𝑙𝑢𝑟𝑒</m:t>
                                </m:r>
                              </m:e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</m:d>
                          </m:e>
                        </m:func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𝐿</m:t>
                                </m:r>
                              </m:e>
                            </m:d>
                          </m:e>
                        </m:func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Pr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𝐹𝑎𝑖𝑙𝑢𝑟𝑒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0.655∗0.385</m:t>
                        </m:r>
                      </m:num>
                      <m:den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0.655∗0.385</m:t>
                            </m:r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+(0.325∗0.620)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=0.556 (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𝑡𝑜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3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.)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53A74DBA-FE3C-BC49-8C90-BCA8158E69FD}"/>
                </a:ext>
              </a:extLst>
            </xdr:cNvPr>
            <xdr:cNvSpPr txBox="1"/>
          </xdr:nvSpPr>
          <xdr:spPr>
            <a:xfrm>
              <a:off x="76200" y="6616700"/>
              <a:ext cx="7860806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𝛼_𝐵𝑎𝑟𝑟𝑖𝑠𝑡𝑒𝑟=</a:t>
              </a:r>
              <a:r>
                <a:rPr lang="en-GB" sz="1100" b="0" i="0">
                  <a:latin typeface="Cambria Math" panose="02040503050406030204" pitchFamily="18" charset="0"/>
                </a:rPr>
                <a:t>Pr⁡(𝐻│𝐹𝑎𝑖𝑙𝑢𝑟𝑒)=(Pr⁡(𝐻)Pr⁡(𝐹𝑎𝑖𝑙𝑢𝑟𝑒|𝐻))/(Pr⁡(𝐻)  Pr⁡(𝐹𝑎𝑖𝑙𝑢𝑟𝑒│𝐻)+Pr⁡(𝐿)Pr⁡(𝐹𝑎𝑖𝑙𝑢𝑟𝑒|𝐿))=(0.655∗0.385)/((0.655∗0.385)+(0.325∗0.620))=0.556 (𝑡𝑜 3 𝑠.𝑓.)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63500</xdr:colOff>
      <xdr:row>38</xdr:row>
      <xdr:rowOff>127000</xdr:rowOff>
    </xdr:from>
    <xdr:ext cx="7826245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168627E4-222B-7D4F-9D8D-A5AEB8FB43AD}"/>
                </a:ext>
              </a:extLst>
            </xdr:cNvPr>
            <xdr:cNvSpPr txBox="1"/>
          </xdr:nvSpPr>
          <xdr:spPr>
            <a:xfrm>
              <a:off x="63500" y="7848600"/>
              <a:ext cx="7826245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𝑆𝑜𝑙𝑖𝑐𝑖𝑡𝑜𝑟</m:t>
                        </m:r>
                      </m:sub>
                    </m:sSub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a:rPr lang="en-GB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</m:e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𝑆𝑢𝑐𝑐𝑒𝑠𝑠</m:t>
                            </m:r>
                          </m:e>
                        </m:d>
                      </m:e>
                    </m:func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</m:d>
                          </m:e>
                        </m:func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Pr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𝑆𝑢𝑐𝑐𝑒𝑠𝑠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𝐻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</m:d>
                          </m:e>
                        </m:func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𝑆𝑢𝑐𝑐𝑒𝑠𝑠</m:t>
                                </m:r>
                              </m:e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</m:d>
                          </m:e>
                        </m:func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𝐿</m:t>
                                </m:r>
                              </m:e>
                            </m:d>
                          </m:e>
                        </m:func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Pr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𝑆𝑢𝑐𝑐𝑒𝑠𝑠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0.655∗0.837</m:t>
                        </m:r>
                      </m:num>
                      <m:den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0.655∗0.837</m:t>
                            </m:r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+(0.325∗0.837)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=0.668 (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𝑡𝑜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3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.)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168627E4-222B-7D4F-9D8D-A5AEB8FB43AD}"/>
                </a:ext>
              </a:extLst>
            </xdr:cNvPr>
            <xdr:cNvSpPr txBox="1"/>
          </xdr:nvSpPr>
          <xdr:spPr>
            <a:xfrm>
              <a:off x="63500" y="7848600"/>
              <a:ext cx="7826245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en-GB" sz="1100" b="0" i="0">
                  <a:latin typeface="Cambria Math" panose="02040503050406030204" pitchFamily="18" charset="0"/>
                </a:rPr>
                <a:t>𝑆𝑜𝑙𝑖𝑐𝑖𝑡𝑜𝑟 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〖=P</a:t>
              </a:r>
              <a:r>
                <a:rPr lang="en-GB" sz="1100" b="0" i="0">
                  <a:latin typeface="Cambria Math" panose="02040503050406030204" pitchFamily="18" charset="0"/>
                </a:rPr>
                <a:t>r〗⁡(𝐻│𝑆𝑢𝑐𝑐𝑒𝑠𝑠)=(Pr⁡(𝐻)Pr⁡(𝑆𝑢𝑐𝑐𝑒𝑠𝑠|𝐻))/(Pr⁡(𝐻)  Pr⁡(𝑆𝑢𝑐𝑐𝑒𝑠𝑠│𝐻)+Pr⁡(𝐿)Pr⁡(𝑆𝑢𝑐𝑐𝑒𝑠𝑠|𝐿))=(0.655∗0.837)/((0.655∗0.837)+(0.325∗0.837))=0.668 (𝑡𝑜 3 𝑠.𝑓.)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50800</xdr:colOff>
      <xdr:row>41</xdr:row>
      <xdr:rowOff>114300</xdr:rowOff>
    </xdr:from>
    <xdr:ext cx="7865295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46811939-5268-8645-B678-B76E799C2D1B}"/>
                </a:ext>
              </a:extLst>
            </xdr:cNvPr>
            <xdr:cNvSpPr txBox="1"/>
          </xdr:nvSpPr>
          <xdr:spPr>
            <a:xfrm>
              <a:off x="50800" y="8445500"/>
              <a:ext cx="7865295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𝑆𝑜𝑙𝑖𝑐𝑖𝑡𝑜𝑟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</m:e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𝐹𝑎𝑖𝑙𝑢𝑟𝑒</m:t>
                            </m:r>
                          </m:e>
                        </m:d>
                      </m:e>
                    </m:func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</m:d>
                          </m:e>
                        </m:func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Pr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𝐹𝑎𝑖𝑙𝑢𝑟𝑒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𝐻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</m:d>
                          </m:e>
                        </m:func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𝐹𝑎𝑖𝑙𝑢𝑟𝑒</m:t>
                                </m:r>
                              </m:e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</m:d>
                          </m:e>
                        </m:func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𝐿</m:t>
                                </m:r>
                              </m:e>
                            </m:d>
                          </m:e>
                        </m:func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Pr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𝐹𝑎𝑖𝑙𝑢𝑟𝑒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0.655∗0.163</m:t>
                        </m:r>
                      </m:num>
                      <m:den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0.655∗0.163</m:t>
                            </m:r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+(0.325∗0.163)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=0.668 (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𝑡𝑜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3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.)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46811939-5268-8645-B678-B76E799C2D1B}"/>
                </a:ext>
              </a:extLst>
            </xdr:cNvPr>
            <xdr:cNvSpPr txBox="1"/>
          </xdr:nvSpPr>
          <xdr:spPr>
            <a:xfrm>
              <a:off x="50800" y="8445500"/>
              <a:ext cx="7865295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𝛼_𝑆𝑜𝑙𝑖𝑐𝑖𝑡𝑜𝑟=</a:t>
              </a:r>
              <a:r>
                <a:rPr lang="en-GB" sz="1100" b="0" i="0">
                  <a:latin typeface="Cambria Math" panose="02040503050406030204" pitchFamily="18" charset="0"/>
                </a:rPr>
                <a:t>Pr⁡(𝐻│𝐹𝑎𝑖𝑙𝑢𝑟𝑒)=(Pr⁡(𝐻)Pr⁡(𝐹𝑎𝑖𝑙𝑢𝑟𝑒|𝐻))/(Pr⁡(𝐻)  Pr⁡(𝐹𝑎𝑖𝑙𝑢𝑟𝑒│𝐻)+Pr⁡(𝐿)Pr⁡(𝐹𝑎𝑖𝑙𝑢𝑟𝑒|𝐿))=(0.655∗0.163)/((0.655∗0.163)+(0.325∗0.163))=0.668 (𝑡𝑜 3 𝑠.𝑓.)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5</xdr:row>
      <xdr:rowOff>44450</xdr:rowOff>
    </xdr:from>
    <xdr:ext cx="1419170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C27BFAC-D96C-68C9-A2CA-D0FBAB733ED8}"/>
                </a:ext>
              </a:extLst>
            </xdr:cNvPr>
            <xdr:cNvSpPr txBox="1"/>
          </xdr:nvSpPr>
          <xdr:spPr>
            <a:xfrm>
              <a:off x="114300" y="1162050"/>
              <a:ext cx="1419170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𝐵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C27BFAC-D96C-68C9-A2CA-D0FBAB733ED8}"/>
                </a:ext>
              </a:extLst>
            </xdr:cNvPr>
            <xdr:cNvSpPr txBox="1"/>
          </xdr:nvSpPr>
          <xdr:spPr>
            <a:xfrm>
              <a:off x="114300" y="1162050"/>
              <a:ext cx="1419170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𝑃(𝐴│𝐵)=(𝑃(𝐵│𝐴)  𝑃(𝐴))/(𝑃(𝐵))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203200</xdr:colOff>
      <xdr:row>24</xdr:row>
      <xdr:rowOff>120650</xdr:rowOff>
    </xdr:from>
    <xdr:ext cx="8392362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36B48AF-E1B9-494B-3623-8A5844552D26}"/>
                </a:ext>
              </a:extLst>
            </xdr:cNvPr>
            <xdr:cNvSpPr txBox="1"/>
          </xdr:nvSpPr>
          <xdr:spPr>
            <a:xfrm>
              <a:off x="203200" y="5099050"/>
              <a:ext cx="8392362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𝑆𝑢𝑐𝑐𝑒𝑠𝑠</m:t>
                        </m:r>
                      </m:e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𝐻𝑖𝑔h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𝑆𝑢𝑐𝑐𝑒𝑠𝑠</m:t>
                                </m:r>
                              </m:e>
                            </m:d>
                          </m:e>
                        </m:func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Pr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⁡(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𝑆𝑢𝑐𝑐𝑒𝑠𝑠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𝑆𝑢𝑐𝑐𝑒𝑠𝑠</m:t>
                                </m:r>
                              </m:e>
                            </m:d>
                          </m:e>
                        </m:func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𝑆𝑢𝑐𝑐𝑒𝑠𝑠</m:t>
                                </m:r>
                              </m:e>
                            </m:d>
                          </m:e>
                        </m:func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𝐹𝑎𝑖𝑙𝑢𝑟𝑒</m:t>
                                </m:r>
                              </m:e>
                            </m:d>
                          </m:e>
                        </m:func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Pr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⁡(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𝐹𝑎𝑖𝑙𝑢𝑟𝑒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=+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(1−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0.765∗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0.765∗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+0.556∗(1−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36B48AF-E1B9-494B-3623-8A5844552D26}"/>
                </a:ext>
              </a:extLst>
            </xdr:cNvPr>
            <xdr:cNvSpPr txBox="1"/>
          </xdr:nvSpPr>
          <xdr:spPr>
            <a:xfrm>
              <a:off x="203200" y="5099050"/>
              <a:ext cx="8392362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=𝑃_1 (𝑆𝑢𝑐𝑐𝑒𝑠𝑠│𝐻𝑖𝑔ℎ)=(Pr⁡(𝐻│𝑆𝑢𝑐𝑐𝑒𝑠𝑠)∗Pr⁡(𝑆𝑢𝑐𝑐𝑒𝑠𝑠))/(Pr⁡(𝐻│𝑆𝑢𝑐𝑐𝑒𝑠𝑠)∗Pr⁡(𝑆𝑢𝑐𝑐𝑒𝑠𝑠)+Pr⁡(𝐻│𝐹𝑎𝑖𝑙𝑢𝑟𝑒)∗Pr⁡(𝐹𝑎𝑖𝑙𝑢𝑟𝑒))=𝛽𝑝/(𝛽𝑝=+𝛼(1−𝑝))=(0.765∗𝑝)/(0.765∗𝑝+0.556∗(1−𝑝))=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9</xdr:col>
      <xdr:colOff>88900</xdr:colOff>
      <xdr:row>2</xdr:row>
      <xdr:rowOff>6350</xdr:rowOff>
    </xdr:from>
    <xdr:ext cx="304800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E857361-8286-8848-9511-3E4662DD8730}"/>
                </a:ext>
              </a:extLst>
            </xdr:cNvPr>
            <xdr:cNvSpPr txBox="1"/>
          </xdr:nvSpPr>
          <xdr:spPr>
            <a:xfrm>
              <a:off x="88900" y="1022350"/>
              <a:ext cx="30480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E857361-8286-8848-9511-3E4662DD8730}"/>
                </a:ext>
              </a:extLst>
            </xdr:cNvPr>
            <xdr:cNvSpPr txBox="1"/>
          </xdr:nvSpPr>
          <xdr:spPr>
            <a:xfrm>
              <a:off x="88900" y="1022350"/>
              <a:ext cx="30480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9</xdr:col>
      <xdr:colOff>127000</xdr:colOff>
      <xdr:row>6</xdr:row>
      <xdr:rowOff>6350</xdr:rowOff>
    </xdr:from>
    <xdr:ext cx="266699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D6916E5-C051-A042-BFFD-04767DD06A59}"/>
                </a:ext>
              </a:extLst>
            </xdr:cNvPr>
            <xdr:cNvSpPr txBox="1"/>
          </xdr:nvSpPr>
          <xdr:spPr>
            <a:xfrm flipH="1">
              <a:off x="127000" y="1835150"/>
              <a:ext cx="266699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𝛾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D6916E5-C051-A042-BFFD-04767DD06A59}"/>
                </a:ext>
              </a:extLst>
            </xdr:cNvPr>
            <xdr:cNvSpPr txBox="1"/>
          </xdr:nvSpPr>
          <xdr:spPr>
            <a:xfrm flipH="1">
              <a:off x="127000" y="1835150"/>
              <a:ext cx="266699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4</xdr:row>
      <xdr:rowOff>25400</xdr:rowOff>
    </xdr:from>
    <xdr:ext cx="533400" cy="1801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6BC9E8BC-048F-2C44-8F26-EBA456883DB3}"/>
                </a:ext>
              </a:extLst>
            </xdr:cNvPr>
            <xdr:cNvSpPr txBox="1"/>
          </xdr:nvSpPr>
          <xdr:spPr>
            <a:xfrm>
              <a:off x="0" y="1447800"/>
              <a:ext cx="533400" cy="1801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1−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6BC9E8BC-048F-2C44-8F26-EBA456883DB3}"/>
                </a:ext>
              </a:extLst>
            </xdr:cNvPr>
            <xdr:cNvSpPr txBox="1"/>
          </xdr:nvSpPr>
          <xdr:spPr>
            <a:xfrm>
              <a:off x="0" y="1447800"/>
              <a:ext cx="533400" cy="1801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1−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8</xdr:row>
      <xdr:rowOff>31750</xdr:rowOff>
    </xdr:from>
    <xdr:ext cx="520700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A69537B-B5AD-4941-A560-B88B94141754}"/>
                </a:ext>
              </a:extLst>
            </xdr:cNvPr>
            <xdr:cNvSpPr txBox="1"/>
          </xdr:nvSpPr>
          <xdr:spPr>
            <a:xfrm>
              <a:off x="0" y="2266950"/>
              <a:ext cx="52070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1−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𝛾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A69537B-B5AD-4941-A560-B88B94141754}"/>
                </a:ext>
              </a:extLst>
            </xdr:cNvPr>
            <xdr:cNvSpPr txBox="1"/>
          </xdr:nvSpPr>
          <xdr:spPr>
            <a:xfrm>
              <a:off x="0" y="2266950"/>
              <a:ext cx="52070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1−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9</xdr:col>
      <xdr:colOff>114300</xdr:colOff>
      <xdr:row>14</xdr:row>
      <xdr:rowOff>19050</xdr:rowOff>
    </xdr:from>
    <xdr:ext cx="292100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83C65919-883E-1240-ACEB-D46FC0A8F6BB}"/>
                </a:ext>
              </a:extLst>
            </xdr:cNvPr>
            <xdr:cNvSpPr txBox="1"/>
          </xdr:nvSpPr>
          <xdr:spPr>
            <a:xfrm>
              <a:off x="114300" y="3473450"/>
              <a:ext cx="29210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83C65919-883E-1240-ACEB-D46FC0A8F6BB}"/>
                </a:ext>
              </a:extLst>
            </xdr:cNvPr>
            <xdr:cNvSpPr txBox="1"/>
          </xdr:nvSpPr>
          <xdr:spPr>
            <a:xfrm>
              <a:off x="114300" y="3473450"/>
              <a:ext cx="29210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16</xdr:row>
      <xdr:rowOff>19050</xdr:rowOff>
    </xdr:from>
    <xdr:ext cx="533400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6284063-2E38-7F4B-B797-F9C7BA929D8C}"/>
                </a:ext>
              </a:extLst>
            </xdr:cNvPr>
            <xdr:cNvSpPr txBox="1"/>
          </xdr:nvSpPr>
          <xdr:spPr>
            <a:xfrm>
              <a:off x="0" y="3879850"/>
              <a:ext cx="53340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1−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6284063-2E38-7F4B-B797-F9C7BA929D8C}"/>
                </a:ext>
              </a:extLst>
            </xdr:cNvPr>
            <xdr:cNvSpPr txBox="1"/>
          </xdr:nvSpPr>
          <xdr:spPr>
            <a:xfrm>
              <a:off x="0" y="3879850"/>
              <a:ext cx="53340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1−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9</xdr:col>
      <xdr:colOff>152400</xdr:colOff>
      <xdr:row>18</xdr:row>
      <xdr:rowOff>31750</xdr:rowOff>
    </xdr:from>
    <xdr:ext cx="190500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62A134BE-9B07-FD4F-BBCB-8782E1237918}"/>
                </a:ext>
              </a:extLst>
            </xdr:cNvPr>
            <xdr:cNvSpPr txBox="1"/>
          </xdr:nvSpPr>
          <xdr:spPr>
            <a:xfrm>
              <a:off x="152400" y="4298950"/>
              <a:ext cx="19050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62A134BE-9B07-FD4F-BBCB-8782E1237918}"/>
                </a:ext>
              </a:extLst>
            </xdr:cNvPr>
            <xdr:cNvSpPr txBox="1"/>
          </xdr:nvSpPr>
          <xdr:spPr>
            <a:xfrm>
              <a:off x="152400" y="4298950"/>
              <a:ext cx="19050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9</xdr:col>
      <xdr:colOff>63500</xdr:colOff>
      <xdr:row>20</xdr:row>
      <xdr:rowOff>19050</xdr:rowOff>
    </xdr:from>
    <xdr:ext cx="393700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7C448549-24B4-D247-9F46-7C65EDF18BE3}"/>
                </a:ext>
              </a:extLst>
            </xdr:cNvPr>
            <xdr:cNvSpPr txBox="1"/>
          </xdr:nvSpPr>
          <xdr:spPr>
            <a:xfrm>
              <a:off x="63500" y="4692650"/>
              <a:ext cx="39370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1−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7C448549-24B4-D247-9F46-7C65EDF18BE3}"/>
                </a:ext>
              </a:extLst>
            </xdr:cNvPr>
            <xdr:cNvSpPr txBox="1"/>
          </xdr:nvSpPr>
          <xdr:spPr>
            <a:xfrm>
              <a:off x="63500" y="4692650"/>
              <a:ext cx="39370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1−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165100</xdr:colOff>
      <xdr:row>29</xdr:row>
      <xdr:rowOff>127000</xdr:rowOff>
    </xdr:from>
    <xdr:ext cx="8947769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A59E8583-B25C-BE4A-A967-9DA442BCB2C7}"/>
                </a:ext>
              </a:extLst>
            </xdr:cNvPr>
            <xdr:cNvSpPr txBox="1"/>
          </xdr:nvSpPr>
          <xdr:spPr>
            <a:xfrm>
              <a:off x="165100" y="6121400"/>
              <a:ext cx="8947769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𝛾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𝑆𝑢𝑐𝑐𝑒𝑠𝑠</m:t>
                        </m:r>
                      </m:e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𝐿𝑜𝑤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𝐿</m:t>
                                </m:r>
                              </m:e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𝑆𝑢𝑐𝑐𝑒𝑠𝑠</m:t>
                                </m:r>
                              </m:e>
                            </m:d>
                          </m:e>
                        </m:func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Pr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⁡(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𝑆𝑢𝑐𝑐𝑒𝑠𝑠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𝐿</m:t>
                                </m:r>
                              </m:e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𝑆𝑢𝑐𝑐𝑒𝑠𝑠</m:t>
                                </m:r>
                              </m:e>
                            </m:d>
                          </m:e>
                        </m:func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𝑆𝑢𝑐𝑐𝑒𝑠𝑠</m:t>
                                </m:r>
                              </m:e>
                            </m:d>
                          </m:e>
                        </m:func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𝐿</m:t>
                                </m:r>
                              </m:e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𝐹𝑎𝑖𝑙𝑢𝑟𝑒</m:t>
                                </m:r>
                              </m:e>
                            </m:d>
                          </m:e>
                        </m:func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Pr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⁡(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𝐹𝑎𝑖𝑙𝑢𝑟𝑒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(1−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(1−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=+(1−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)(1−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0.235∗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0.235∗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+0.444∗(1−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A59E8583-B25C-BE4A-A967-9DA442BCB2C7}"/>
                </a:ext>
              </a:extLst>
            </xdr:cNvPr>
            <xdr:cNvSpPr txBox="1"/>
          </xdr:nvSpPr>
          <xdr:spPr>
            <a:xfrm>
              <a:off x="165100" y="6121400"/>
              <a:ext cx="8947769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𝛾=𝑃_1 (𝑆𝑢𝑐𝑐𝑒𝑠𝑠│𝐿𝑜𝑤)=(Pr⁡(𝐿│𝑆𝑢𝑐𝑐𝑒𝑠𝑠)∗Pr⁡(𝑆𝑢𝑐𝑐𝑒𝑠𝑠))/(Pr⁡(𝐿│𝑆𝑢𝑐𝑐𝑒𝑠𝑠)∗Pr⁡(𝑆𝑢𝑐𝑐𝑒𝑠𝑠)+Pr⁡(𝐿│𝐹𝑎𝑖𝑙𝑢𝑟𝑒)∗Pr⁡(𝐹𝑎𝑖𝑙𝑢𝑟𝑒))=((1−𝛽)𝑝)/((1−𝛽)𝑝=+(1−𝛼)(1−𝑝))=(0.235∗𝑝)/(0.235∗𝑝+0.444∗(1−𝑝))=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596900</xdr:colOff>
      <xdr:row>17</xdr:row>
      <xdr:rowOff>38100</xdr:rowOff>
    </xdr:from>
    <xdr:to>
      <xdr:col>18</xdr:col>
      <xdr:colOff>165100</xdr:colOff>
      <xdr:row>34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405B95-22B2-7BFB-AC6A-565347171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88900</xdr:colOff>
      <xdr:row>60</xdr:row>
      <xdr:rowOff>120650</xdr:rowOff>
    </xdr:from>
    <xdr:to>
      <xdr:col>12</xdr:col>
      <xdr:colOff>304800</xdr:colOff>
      <xdr:row>75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C25215-CE6D-E452-4FF9-B553979BE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7E7268-1F2A-6747-855B-A3D83E5A8B3E}" name="Table3" displayName="Table3" ref="A3:D17">
  <autoFilter ref="A3:D17" xr:uid="{077E7268-1F2A-6747-855B-A3D83E5A8B3E}">
    <filterColumn colId="0" hiddenButton="1"/>
    <filterColumn colId="1" hiddenButton="1"/>
    <filterColumn colId="2" hiddenButton="1"/>
    <filterColumn colId="3" hiddenButton="1"/>
  </autoFilter>
  <tableColumns count="4">
    <tableColumn id="1" xr3:uid="{CCD6809F-877A-F74B-ACA8-55628FD96199}" name="Cohort" totalsRowLabel="Total"/>
    <tableColumn id="2" xr3:uid="{D096203A-132C-494A-8930-78A000EBDF34}" name="% with pupillage" dataDxfId="8"/>
    <tableColumn id="3" xr3:uid="{6A9BB613-C7E6-3A49-A0E0-9BB6FD16B38C}" name="First"/>
    <tableColumn id="4" xr3:uid="{B044F01E-2539-0744-99EB-19FFAEA7D348}" name="2:1" totalsRowFunction="sum"/>
  </tableColumns>
  <tableStyleInfo name="TableStyleLight1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5966025-FF9E-B340-A08E-5D61683CD395}" name="Table8" displayName="Table8" ref="K8:O11" totalsRowShown="0">
  <autoFilter ref="K8:O11" xr:uid="{B5966025-FF9E-B340-A08E-5D61683CD395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E710F4B8-9D76-C34C-932A-96708CD861A0}" name="Barrister Earnings"/>
    <tableColumn id="2" xr3:uid="{897DDB03-A6E9-6746-818C-E2652BDDF1CC}" name="Pupillage Year 1" dataDxfId="7"/>
    <tableColumn id="3" xr3:uid="{353A79B7-6ADE-0644-9666-87A86CDE20C2}" name="Tenancy Year 1" dataDxfId="6"/>
    <tableColumn id="4" xr3:uid="{708F0177-CDA3-154C-BC7B-134C60448339}" name="Tenancy Year 2" dataDxfId="5"/>
    <tableColumn id="5" xr3:uid="{1BB8CE26-EDE2-7643-B519-3514894CB4DE}" name="Total earnings in first 3 years" dataDxfId="4"/>
  </tableColumns>
  <tableStyleInfo name="TableStyleLight1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451846-1640-1A4D-948F-CD5469B106FB}" name="Table1" displayName="Table1" ref="B4:E15" totalsRowShown="0">
  <autoFilter ref="B4:E15" xr:uid="{D9451846-1640-1A4D-948F-CD5469B106FB}">
    <filterColumn colId="0" hiddenButton="1"/>
    <filterColumn colId="1" hiddenButton="1"/>
    <filterColumn colId="2" hiddenButton="1"/>
    <filterColumn colId="3" hiddenButton="1"/>
  </autoFilter>
  <tableColumns count="4">
    <tableColumn id="1" xr3:uid="{9D9DABF1-2738-EF4D-877C-6CAA4ACFD145}" name="Cohort"/>
    <tableColumn id="2" xr3:uid="{8D54ED40-AB2C-E04B-AAAA-0717540C8021}" name="Admissions to the roll" dataDxfId="3"/>
    <tableColumn id="3" xr3:uid="{5315B4C9-C12A-864E-A046-42D88F7786C5}" name="Training contracts registered" dataDxfId="2"/>
    <tableColumn id="4" xr3:uid="{9478D558-0C85-C941-B08F-C34AA5563AAC}" name="% with Training Contract" dataDxfId="1">
      <calculatedColumnFormula>(100/Table1[[#This Row],[Admissions to the roll]])*Table1[[#This Row],[Training contracts registered]]</calculatedColumnFormula>
    </tableColumn>
  </tableColumns>
  <tableStyleInfo name="TableStyleLight1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C203413-F0A2-3646-994F-37727D6B01E4}" name="Table7" displayName="Table7" ref="B3:F97" totalsRowShown="0" headerRowDxfId="0">
  <autoFilter ref="B3:F97" xr:uid="{BC203413-F0A2-3646-994F-37727D6B01E4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EB66558-3A17-A74D-86EE-48AD213F3B20}" name="Firm "/>
    <tableColumn id="2" xr3:uid="{F4894B0B-7662-E54F-9CE2-CB038E6F54B5}" name="1st year salary "/>
    <tableColumn id="3" xr3:uid="{4A866326-3C4E-FE44-8FCA-8161454EDBBE}" name="2nd year salary "/>
    <tableColumn id="4" xr3:uid="{FDE16B75-A901-5243-A784-209E4F2140A7}" name="NQ salary "/>
    <tableColumn id="5" xr3:uid="{D2DEE01E-CDE6-F94C-BF0E-99348C3EC8EB}" name="Column1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www.lawsociety.org.uk/topics/research/annual-statistics-report-2022" TargetMode="External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hambersstudent.co.uk/foot-anstey/true-picture/10748/1" TargetMode="External"/><Relationship Id="rId21" Type="http://schemas.openxmlformats.org/officeDocument/2006/relationships/hyperlink" Target="https://www.chambersstudent.co.uk/dentons/true-picture/111/1" TargetMode="External"/><Relationship Id="rId42" Type="http://schemas.openxmlformats.org/officeDocument/2006/relationships/hyperlink" Target="https://www.chambersstudent.co.uk/kingsley-napley/true-picture/229/1" TargetMode="External"/><Relationship Id="rId47" Type="http://schemas.openxmlformats.org/officeDocument/2006/relationships/hyperlink" Target="https://www.chambersstudent.co.uk/maples-teesdale/true-picture/266/1" TargetMode="External"/><Relationship Id="rId63" Type="http://schemas.openxmlformats.org/officeDocument/2006/relationships/hyperlink" Target="https://www.chambersstudent.co.uk/ropes-gray/true-picture/231687/1" TargetMode="External"/><Relationship Id="rId68" Type="http://schemas.openxmlformats.org/officeDocument/2006/relationships/hyperlink" Target="https://www.chambersstudent.co.uk/simmons-simmons/true-picture/383/1" TargetMode="External"/><Relationship Id="rId84" Type="http://schemas.openxmlformats.org/officeDocument/2006/relationships/hyperlink" Target="https://www.chambersstudent.co.uk/white-case/true-picture/450/1" TargetMode="External"/><Relationship Id="rId89" Type="http://schemas.openxmlformats.org/officeDocument/2006/relationships/hyperlink" Target="https://www.chambersstudent.co.uk/withers/true-picture/463/1" TargetMode="External"/><Relationship Id="rId16" Type="http://schemas.openxmlformats.org/officeDocument/2006/relationships/hyperlink" Target="https://www.chambersstudent.co.uk/cripps-pemberton-greenish/true-picture/94/1" TargetMode="External"/><Relationship Id="rId11" Type="http://schemas.openxmlformats.org/officeDocument/2006/relationships/hyperlink" Target="https://www.chambersstudent.co.uk/charles-russell-speechlys/true-picture/74/1" TargetMode="External"/><Relationship Id="rId32" Type="http://schemas.openxmlformats.org/officeDocument/2006/relationships/hyperlink" Target="https://www.chambersstudent.co.uk/goodwin/true-picture/22637904/1" TargetMode="External"/><Relationship Id="rId37" Type="http://schemas.openxmlformats.org/officeDocument/2006/relationships/hyperlink" Target="https://www.chambersstudent.co.uk/hogan-lovells/true-picture/257/1" TargetMode="External"/><Relationship Id="rId53" Type="http://schemas.openxmlformats.org/officeDocument/2006/relationships/hyperlink" Target="https://www.chambersstudent.co.uk/mishcon-de-reya/true-picture/292/1" TargetMode="External"/><Relationship Id="rId58" Type="http://schemas.openxmlformats.org/officeDocument/2006/relationships/hyperlink" Target="https://www.chambersstudent.co.uk/orrick-herrington-sutcliffe/true-picture/1226/1" TargetMode="External"/><Relationship Id="rId74" Type="http://schemas.openxmlformats.org/officeDocument/2006/relationships/hyperlink" Target="https://www.chambersstudent.co.uk/taylor-wessing/true-picture/407/1" TargetMode="External"/><Relationship Id="rId79" Type="http://schemas.openxmlformats.org/officeDocument/2006/relationships/hyperlink" Target="https://www.chambersstudent.co.uk/law-firms/a-to-z-firm-list" TargetMode="External"/><Relationship Id="rId5" Type="http://schemas.openxmlformats.org/officeDocument/2006/relationships/hyperlink" Target="https://www.chambersstudent.co.uk/ashurst/true-picture/15/1" TargetMode="External"/><Relationship Id="rId90" Type="http://schemas.openxmlformats.org/officeDocument/2006/relationships/hyperlink" Target="https://www.chambersstudent.co.uk/womble-bond-dickinson/true-picture/583/1" TargetMode="External"/><Relationship Id="rId95" Type="http://schemas.openxmlformats.org/officeDocument/2006/relationships/table" Target="../tables/table4.xml"/><Relationship Id="rId22" Type="http://schemas.openxmlformats.org/officeDocument/2006/relationships/hyperlink" Target="https://www.chambersstudent.co.uk/dla-piper/true-picture/22401592/1" TargetMode="External"/><Relationship Id="rId27" Type="http://schemas.openxmlformats.org/officeDocument/2006/relationships/hyperlink" Target="https://www.chambersstudent.co.uk/forsters/true-picture/4395/1" TargetMode="External"/><Relationship Id="rId43" Type="http://schemas.openxmlformats.org/officeDocument/2006/relationships/hyperlink" Target="https://www.chambersstudent.co.uk/kirkland-ellis-international/true-picture/4500/1" TargetMode="External"/><Relationship Id="rId48" Type="http://schemas.openxmlformats.org/officeDocument/2006/relationships/hyperlink" Target="https://www.chambersstudent.co.uk/marriott-harrison/true-picture/268/1" TargetMode="External"/><Relationship Id="rId64" Type="http://schemas.openxmlformats.org/officeDocument/2006/relationships/hyperlink" Target="https://www.chambersstudent.co.uk/rpc/true-picture/341/1" TargetMode="External"/><Relationship Id="rId69" Type="http://schemas.openxmlformats.org/officeDocument/2006/relationships/hyperlink" Target="https://www.chambersstudent.co.uk/skadden-arps-slate-meagher-flom-uk/true-picture/4805/1" TargetMode="External"/><Relationship Id="rId8" Type="http://schemas.openxmlformats.org/officeDocument/2006/relationships/hyperlink" Target="https://www.chambersstudent.co.uk/bristows/true-picture/49/1" TargetMode="External"/><Relationship Id="rId51" Type="http://schemas.openxmlformats.org/officeDocument/2006/relationships/hyperlink" Target="https://www.chambersstudent.co.uk/michelmores/true-picture/285/1" TargetMode="External"/><Relationship Id="rId72" Type="http://schemas.openxmlformats.org/officeDocument/2006/relationships/hyperlink" Target="https://www.chambersstudent.co.uk/stevens-bolton/true-picture/400/1" TargetMode="External"/><Relationship Id="rId80" Type="http://schemas.openxmlformats.org/officeDocument/2006/relationships/hyperlink" Target="https://www.chambersstudent.co.uk/ward-hadaway/true-picture/443/1" TargetMode="External"/><Relationship Id="rId85" Type="http://schemas.openxmlformats.org/officeDocument/2006/relationships/hyperlink" Target="https://www.chambersstudent.co.uk/wilkin-chapman/true-picture/4606/1" TargetMode="External"/><Relationship Id="rId93" Type="http://schemas.openxmlformats.org/officeDocument/2006/relationships/hyperlink" Target="https://www.chambersstudent.co.uk/bryan-cave-leighton-paisner/true-picture/27/1" TargetMode="External"/><Relationship Id="rId3" Type="http://schemas.openxmlformats.org/officeDocument/2006/relationships/hyperlink" Target="https://www.chambersstudent.co.uk/arnold-porter/true-picture/493/1" TargetMode="External"/><Relationship Id="rId12" Type="http://schemas.openxmlformats.org/officeDocument/2006/relationships/hyperlink" Target="https://www.chambersstudent.co.uk/cleary-gottlieb-steen-hamilton/true-picture/5869/1" TargetMode="External"/><Relationship Id="rId17" Type="http://schemas.openxmlformats.org/officeDocument/2006/relationships/hyperlink" Target="https://www.chambersstudent.co.uk/curtis-mallet-prevost-colt-mosle/true-picture/5928/1" TargetMode="External"/><Relationship Id="rId25" Type="http://schemas.openxmlformats.org/officeDocument/2006/relationships/hyperlink" Target="https://www.chambersstudent.co.uk/fladgate/true-picture/140/1" TargetMode="External"/><Relationship Id="rId33" Type="http://schemas.openxmlformats.org/officeDocument/2006/relationships/hyperlink" Target="https://www.chambersstudent.co.uk/harbottle-lewis/true-picture/178/1" TargetMode="External"/><Relationship Id="rId38" Type="http://schemas.openxmlformats.org/officeDocument/2006/relationships/hyperlink" Target="https://www.chambersstudent.co.uk/howes-percival/true-picture/202/1" TargetMode="External"/><Relationship Id="rId46" Type="http://schemas.openxmlformats.org/officeDocument/2006/relationships/hyperlink" Target="https://www.chambersstudent.co.uk/macfarlanes/true-picture/259/1" TargetMode="External"/><Relationship Id="rId59" Type="http://schemas.openxmlformats.org/officeDocument/2006/relationships/hyperlink" Target="https://www.chambersstudent.co.uk/osborne-clarke/true-picture/9463/1" TargetMode="External"/><Relationship Id="rId67" Type="http://schemas.openxmlformats.org/officeDocument/2006/relationships/hyperlink" Target="https://www.chambersstudent.co.uk/sidley-austin/true-picture/54/1" TargetMode="External"/><Relationship Id="rId20" Type="http://schemas.openxmlformats.org/officeDocument/2006/relationships/hyperlink" Target="https://www.chambersstudent.co.uk/dechert/true-picture/418/1" TargetMode="External"/><Relationship Id="rId41" Type="http://schemas.openxmlformats.org/officeDocument/2006/relationships/hyperlink" Target="https://www.chambersstudent.co.uk/kennedys/true-picture/222/1" TargetMode="External"/><Relationship Id="rId54" Type="http://schemas.openxmlformats.org/officeDocument/2006/relationships/hyperlink" Target="https://www.chambersstudent.co.uk/morgan-lewis-bockius/true-picture/297/1" TargetMode="External"/><Relationship Id="rId62" Type="http://schemas.openxmlformats.org/officeDocument/2006/relationships/hyperlink" Target="https://www.chambersstudent.co.uk/reed-smith/true-picture/4701/1" TargetMode="External"/><Relationship Id="rId70" Type="http://schemas.openxmlformats.org/officeDocument/2006/relationships/hyperlink" Target="https://www.chambersstudent.co.uk/slaughter-and-may/true-picture/389/1" TargetMode="External"/><Relationship Id="rId75" Type="http://schemas.openxmlformats.org/officeDocument/2006/relationships/hyperlink" Target="https://www.chambersstudent.co.uk/tlt/true-picture/238/1" TargetMode="External"/><Relationship Id="rId83" Type="http://schemas.openxmlformats.org/officeDocument/2006/relationships/hyperlink" Target="https://www.chambersstudent.co.uk/weil-gotshal-manges-london/true-picture/448/1" TargetMode="External"/><Relationship Id="rId88" Type="http://schemas.openxmlformats.org/officeDocument/2006/relationships/hyperlink" Target="https://www.chambersstudent.co.uk/winckworth-sherwood/true-picture/460/1" TargetMode="External"/><Relationship Id="rId91" Type="http://schemas.openxmlformats.org/officeDocument/2006/relationships/hyperlink" Target="https://www.chambersstudent.co.uk/travers-smith/true-picture/424/1" TargetMode="External"/><Relationship Id="rId1" Type="http://schemas.openxmlformats.org/officeDocument/2006/relationships/hyperlink" Target="https://www.chambersstudent.co.uk/addleshaw-goddard/true-picture/412/1" TargetMode="External"/><Relationship Id="rId6" Type="http://schemas.openxmlformats.org/officeDocument/2006/relationships/hyperlink" Target="https://www.chambersstudent.co.uk/baker-mckenzie/true-picture/16/1" TargetMode="External"/><Relationship Id="rId15" Type="http://schemas.openxmlformats.org/officeDocument/2006/relationships/hyperlink" Target="https://www.chambersstudent.co.uk/covington-burling/true-picture/93/1" TargetMode="External"/><Relationship Id="rId23" Type="http://schemas.openxmlformats.org/officeDocument/2006/relationships/hyperlink" Target="https://www.chambersstudent.co.uk/dorsey-whitney/true-picture/5721/1" TargetMode="External"/><Relationship Id="rId28" Type="http://schemas.openxmlformats.org/officeDocument/2006/relationships/hyperlink" Target="https://www.chambersstudent.co.uk/fox-williams/true-picture/144/1" TargetMode="External"/><Relationship Id="rId36" Type="http://schemas.openxmlformats.org/officeDocument/2006/relationships/hyperlink" Target="https://www.chambersstudent.co.uk/hill-dickinson/true-picture/193/1" TargetMode="External"/><Relationship Id="rId49" Type="http://schemas.openxmlformats.org/officeDocument/2006/relationships/hyperlink" Target="https://www.chambersstudent.co.uk/mayer-brown-international/true-picture/354/1" TargetMode="External"/><Relationship Id="rId57" Type="http://schemas.openxmlformats.org/officeDocument/2006/relationships/hyperlink" Target="https://www.chambersstudent.co.uk/norton-rose-fulbright/true-picture/309/1" TargetMode="External"/><Relationship Id="rId10" Type="http://schemas.openxmlformats.org/officeDocument/2006/relationships/hyperlink" Target="https://www.chambersstudent.co.uk/burges-salmon/true-picture/57/1" TargetMode="External"/><Relationship Id="rId31" Type="http://schemas.openxmlformats.org/officeDocument/2006/relationships/hyperlink" Target="https://www.chambersstudent.co.uk/gibson-dunn-crutcher/true-picture/5566/1" TargetMode="External"/><Relationship Id="rId44" Type="http://schemas.openxmlformats.org/officeDocument/2006/relationships/hyperlink" Target="https://www.chambersstudent.co.uk/latham-watkins/true-picture/234/1" TargetMode="External"/><Relationship Id="rId52" Type="http://schemas.openxmlformats.org/officeDocument/2006/relationships/hyperlink" Target="https://www.chambersstudent.co.uk/mills-reeve/true-picture/863/1" TargetMode="External"/><Relationship Id="rId60" Type="http://schemas.openxmlformats.org/officeDocument/2006/relationships/hyperlink" Target="https://www.chambersstudent.co.uk/paul-hastings-europe/true-picture/8039/1" TargetMode="External"/><Relationship Id="rId65" Type="http://schemas.openxmlformats.org/officeDocument/2006/relationships/hyperlink" Target="https://www.chambersstudent.co.uk/russell-cooke/true-picture/359/1" TargetMode="External"/><Relationship Id="rId73" Type="http://schemas.openxmlformats.org/officeDocument/2006/relationships/hyperlink" Target="https://www.chambersstudent.co.uk/sullivan-cromwell/true-picture/4741/1" TargetMode="External"/><Relationship Id="rId78" Type="http://schemas.openxmlformats.org/officeDocument/2006/relationships/hyperlink" Target="https://www.chambersstudent.co.uk/vinson-elkins-rllp/true-picture/4682/1" TargetMode="External"/><Relationship Id="rId81" Type="http://schemas.openxmlformats.org/officeDocument/2006/relationships/hyperlink" Target="https://www.chambersstudent.co.uk/watson-farley-williams/true-picture/71034/1" TargetMode="External"/><Relationship Id="rId86" Type="http://schemas.openxmlformats.org/officeDocument/2006/relationships/hyperlink" Target="https://www.chambersstudent.co.uk/willkie-farr-gallagher/true-picture/4616/1" TargetMode="External"/><Relationship Id="rId94" Type="http://schemas.openxmlformats.org/officeDocument/2006/relationships/hyperlink" Target="https://www.chambersstudent.co.uk/macfarlanes/true-picture/259/1" TargetMode="External"/><Relationship Id="rId4" Type="http://schemas.openxmlformats.org/officeDocument/2006/relationships/hyperlink" Target="https://www.chambersstudent.co.uk/ashfords/true-picture/93611/1" TargetMode="External"/><Relationship Id="rId9" Type="http://schemas.openxmlformats.org/officeDocument/2006/relationships/hyperlink" Target="https://www.chambersstudent.co.uk/bryan-cave-leighton-paisner/true-picture/27/1" TargetMode="External"/><Relationship Id="rId13" Type="http://schemas.openxmlformats.org/officeDocument/2006/relationships/hyperlink" Target="https://www.chambersstudent.co.uk/cms/true-picture/499/1" TargetMode="External"/><Relationship Id="rId18" Type="http://schemas.openxmlformats.org/officeDocument/2006/relationships/hyperlink" Target="https://www.chambersstudent.co.uk/davis-polk-wardwell-london/true-picture/5824/1" TargetMode="External"/><Relationship Id="rId39" Type="http://schemas.openxmlformats.org/officeDocument/2006/relationships/hyperlink" Target="https://www.chambersstudent.co.uk/irwin-mitchell/true-picture/209/1" TargetMode="External"/><Relationship Id="rId34" Type="http://schemas.openxmlformats.org/officeDocument/2006/relationships/hyperlink" Target="https://www.chambersstudent.co.uk/haynes-and-boone/true-picture/490/1" TargetMode="External"/><Relationship Id="rId50" Type="http://schemas.openxmlformats.org/officeDocument/2006/relationships/hyperlink" Target="https://www.chambersstudent.co.uk/mcdermott-will-emery/true-picture/2583/1" TargetMode="External"/><Relationship Id="rId55" Type="http://schemas.openxmlformats.org/officeDocument/2006/relationships/hyperlink" Target="https://www.chambersstudent.co.uk/morrison-foerster/true-picture/5077/1" TargetMode="External"/><Relationship Id="rId76" Type="http://schemas.openxmlformats.org/officeDocument/2006/relationships/hyperlink" Target="https://www.chambersstudent.co.uk/travers-smith/true-picture/424/1" TargetMode="External"/><Relationship Id="rId7" Type="http://schemas.openxmlformats.org/officeDocument/2006/relationships/hyperlink" Target="https://www.chambersstudent.co.uk/bates-wells/true-picture/20/1" TargetMode="External"/><Relationship Id="rId71" Type="http://schemas.openxmlformats.org/officeDocument/2006/relationships/hyperlink" Target="https://www.chambersstudent.co.uk/squire-patton-boggs/true-picture/3680/1" TargetMode="External"/><Relationship Id="rId92" Type="http://schemas.openxmlformats.org/officeDocument/2006/relationships/hyperlink" Target="https://www.chambersstudent.co.uk/ashurst/true-picture/15/1" TargetMode="External"/><Relationship Id="rId2" Type="http://schemas.openxmlformats.org/officeDocument/2006/relationships/hyperlink" Target="https://www.chambersstudent.co.uk/akin-gump-strauss-hauer-feld/true-picture/504/1" TargetMode="External"/><Relationship Id="rId29" Type="http://schemas.openxmlformats.org/officeDocument/2006/relationships/hyperlink" Target="https://www.chambersstudent.co.uk/fried-frank-harris-shriver-jacobson/true-picture/5687/1" TargetMode="External"/><Relationship Id="rId24" Type="http://schemas.openxmlformats.org/officeDocument/2006/relationships/hyperlink" Target="https://www.chambersstudent.co.uk/farrer/true-picture/133/1" TargetMode="External"/><Relationship Id="rId40" Type="http://schemas.openxmlformats.org/officeDocument/2006/relationships/hyperlink" Target="https://www.chambersstudent.co.uk/k-l-gates/true-picture/204430/1" TargetMode="External"/><Relationship Id="rId45" Type="http://schemas.openxmlformats.org/officeDocument/2006/relationships/hyperlink" Target="https://www.chambersstudent.co.uk/lewis-silkin/true-picture/251/1" TargetMode="External"/><Relationship Id="rId66" Type="http://schemas.openxmlformats.org/officeDocument/2006/relationships/hyperlink" Target="https://www.chambersstudent.co.uk/law-firms/a-to-z-firm-list" TargetMode="External"/><Relationship Id="rId87" Type="http://schemas.openxmlformats.org/officeDocument/2006/relationships/hyperlink" Target="https://www.chambersstudent.co.uk/wilsons/true-picture/459/1" TargetMode="External"/><Relationship Id="rId61" Type="http://schemas.openxmlformats.org/officeDocument/2006/relationships/hyperlink" Target="https://www.chambersstudent.co.uk/penningtons-manches-cooper/true-picture/322/1" TargetMode="External"/><Relationship Id="rId82" Type="http://schemas.openxmlformats.org/officeDocument/2006/relationships/hyperlink" Target="https://www.chambersstudent.co.uk/wedlake-bell/true-picture/446/1" TargetMode="External"/><Relationship Id="rId19" Type="http://schemas.openxmlformats.org/officeDocument/2006/relationships/hyperlink" Target="https://www.chambersstudent.co.uk/debevoise-plimpton/true-picture/5831/1" TargetMode="External"/><Relationship Id="rId14" Type="http://schemas.openxmlformats.org/officeDocument/2006/relationships/hyperlink" Target="https://www.chambersstudent.co.uk/collyer-bristow/true-picture/88/1" TargetMode="External"/><Relationship Id="rId30" Type="http://schemas.openxmlformats.org/officeDocument/2006/relationships/hyperlink" Target="https://www.chambersstudent.co.uk/gateley-legal/true-picture/152/1" TargetMode="External"/><Relationship Id="rId35" Type="http://schemas.openxmlformats.org/officeDocument/2006/relationships/hyperlink" Target="https://www.chambersstudent.co.uk/hfw/true-picture/197/1" TargetMode="External"/><Relationship Id="rId56" Type="http://schemas.openxmlformats.org/officeDocument/2006/relationships/hyperlink" Target="https://www.chambersstudent.co.uk/muckle/true-picture/344/1" TargetMode="External"/><Relationship Id="rId77" Type="http://schemas.openxmlformats.org/officeDocument/2006/relationships/hyperlink" Target="https://www.chambersstudent.co.uk/trowers-hamlins/true-picture/425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16379-0D9A-6D44-BC0D-93917352F573}">
  <dimension ref="A1:G38"/>
  <sheetViews>
    <sheetView workbookViewId="0">
      <selection activeCell="G26" sqref="A3:G26"/>
    </sheetView>
  </sheetViews>
  <sheetFormatPr baseColWidth="10" defaultRowHeight="16"/>
  <cols>
    <col min="1" max="1" width="6.5" customWidth="1"/>
    <col min="2" max="2" width="13.5" customWidth="1"/>
    <col min="14" max="14" width="18.5" customWidth="1"/>
  </cols>
  <sheetData>
    <row r="1" spans="1:7" ht="24">
      <c r="A1" s="86" t="s">
        <v>366</v>
      </c>
    </row>
    <row r="2" spans="1:7" ht="24">
      <c r="A2" s="86"/>
    </row>
    <row r="3" spans="1:7">
      <c r="A3" s="5" t="s">
        <v>353</v>
      </c>
    </row>
    <row r="4" spans="1:7">
      <c r="A4" s="90"/>
      <c r="B4" s="75"/>
      <c r="C4" s="38" t="s">
        <v>294</v>
      </c>
      <c r="D4" s="91" t="s">
        <v>295</v>
      </c>
      <c r="F4" t="s">
        <v>327</v>
      </c>
    </row>
    <row r="5" spans="1:7">
      <c r="A5" s="92"/>
      <c r="B5" s="87" t="s">
        <v>354</v>
      </c>
      <c r="C5" s="82">
        <v>0.61499999999999999</v>
      </c>
      <c r="D5" s="93">
        <v>0.83699999999999997</v>
      </c>
      <c r="F5" s="97" t="s">
        <v>328</v>
      </c>
      <c r="G5" s="100">
        <v>0.65500000000000003</v>
      </c>
    </row>
    <row r="6" spans="1:7">
      <c r="A6" s="92"/>
      <c r="B6" s="88"/>
      <c r="C6" s="84"/>
      <c r="D6" s="94"/>
      <c r="F6" s="98" t="s">
        <v>329</v>
      </c>
      <c r="G6" s="101">
        <v>0.32500000000000001</v>
      </c>
    </row>
    <row r="7" spans="1:7">
      <c r="A7" s="92"/>
      <c r="B7" s="87" t="s">
        <v>355</v>
      </c>
      <c r="C7" s="82">
        <f>1-C5</f>
        <v>0.38500000000000001</v>
      </c>
      <c r="D7" s="95">
        <f>1-D5</f>
        <v>0.16300000000000003</v>
      </c>
      <c r="F7" s="99" t="s">
        <v>352</v>
      </c>
      <c r="G7" s="102">
        <v>0.02</v>
      </c>
    </row>
    <row r="8" spans="1:7">
      <c r="A8" s="92"/>
      <c r="B8" s="89"/>
      <c r="C8" s="83"/>
      <c r="D8" s="93"/>
    </row>
    <row r="9" spans="1:7">
      <c r="A9" s="92"/>
      <c r="B9" s="89" t="s">
        <v>356</v>
      </c>
      <c r="C9" s="83">
        <v>0.38</v>
      </c>
      <c r="D9" s="93">
        <v>0.83699999999999997</v>
      </c>
    </row>
    <row r="10" spans="1:7">
      <c r="A10" s="92"/>
      <c r="B10" s="89"/>
      <c r="C10" s="83"/>
      <c r="D10" s="93"/>
    </row>
    <row r="11" spans="1:7">
      <c r="A11" s="92"/>
      <c r="B11" s="89" t="s">
        <v>357</v>
      </c>
      <c r="C11" s="83">
        <f>1-C9</f>
        <v>0.62</v>
      </c>
      <c r="D11" s="93">
        <f>1-D9</f>
        <v>0.16300000000000003</v>
      </c>
    </row>
    <row r="12" spans="1:7">
      <c r="A12" s="96"/>
      <c r="B12" s="10"/>
      <c r="C12" s="31"/>
      <c r="D12" s="10"/>
    </row>
    <row r="15" spans="1:7">
      <c r="A15" s="5" t="s">
        <v>358</v>
      </c>
    </row>
    <row r="16" spans="1:7">
      <c r="A16" s="90"/>
      <c r="B16" s="75"/>
      <c r="C16" s="38" t="s">
        <v>294</v>
      </c>
      <c r="D16" s="91" t="s">
        <v>295</v>
      </c>
    </row>
    <row r="17" spans="1:5">
      <c r="A17" s="92"/>
      <c r="B17" s="8" t="s">
        <v>359</v>
      </c>
      <c r="C17" s="83">
        <f>(G5*C5)/((G5*C5)+(G6*C9))</f>
        <v>0.7653541063031396</v>
      </c>
      <c r="D17" s="93">
        <f>(G5*D5)/((G5*D5)+(G6*D9))</f>
        <v>0.66836734693877553</v>
      </c>
    </row>
    <row r="18" spans="1:5">
      <c r="A18" s="92"/>
      <c r="B18" s="8"/>
      <c r="C18" s="83"/>
      <c r="D18" s="93"/>
    </row>
    <row r="19" spans="1:5">
      <c r="A19" s="92"/>
      <c r="B19" s="8" t="s">
        <v>360</v>
      </c>
      <c r="C19" s="83">
        <f>1-C17</f>
        <v>0.2346458936968604</v>
      </c>
      <c r="D19" s="93">
        <f>1-D17</f>
        <v>0.33163265306122447</v>
      </c>
      <c r="E19" t="s">
        <v>363</v>
      </c>
    </row>
    <row r="20" spans="1:5">
      <c r="A20" s="92"/>
      <c r="B20" s="8"/>
      <c r="C20" s="83"/>
      <c r="D20" s="93"/>
    </row>
    <row r="21" spans="1:5">
      <c r="A21" s="92"/>
      <c r="B21" s="8" t="s">
        <v>361</v>
      </c>
      <c r="C21" s="83">
        <f>(G5*C7)/((G5*C7)+(G6*C11))</f>
        <v>0.55584945170000555</v>
      </c>
      <c r="D21" s="93">
        <f>(G5*D7)/((G5*D7)+(G6*D11))</f>
        <v>0.66836734693877542</v>
      </c>
    </row>
    <row r="22" spans="1:5">
      <c r="A22" s="92"/>
      <c r="B22" s="8"/>
      <c r="C22" s="83"/>
      <c r="D22" s="93"/>
    </row>
    <row r="23" spans="1:5">
      <c r="A23" s="92"/>
      <c r="B23" s="8" t="s">
        <v>362</v>
      </c>
      <c r="C23" s="83">
        <f>1-C21</f>
        <v>0.44415054829999445</v>
      </c>
      <c r="D23" s="93">
        <f>1-D21</f>
        <v>0.33163265306122458</v>
      </c>
    </row>
    <row r="24" spans="1:5">
      <c r="A24" s="96"/>
      <c r="B24" s="10"/>
      <c r="C24" s="31"/>
      <c r="D24" s="10"/>
    </row>
    <row r="26" spans="1:5">
      <c r="A26" s="5" t="s">
        <v>364</v>
      </c>
    </row>
    <row r="27" spans="1:5">
      <c r="A27" s="17" t="s">
        <v>365</v>
      </c>
    </row>
    <row r="29" spans="1:5">
      <c r="A29" s="85" t="s">
        <v>294</v>
      </c>
    </row>
    <row r="38" spans="1:1">
      <c r="A38" s="85" t="s">
        <v>295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4FF4F-384C-8D45-83CB-64E8E0F2EC41}">
  <dimension ref="A1:H26"/>
  <sheetViews>
    <sheetView workbookViewId="0">
      <selection activeCell="C21" sqref="C21"/>
    </sheetView>
  </sheetViews>
  <sheetFormatPr baseColWidth="10" defaultRowHeight="16"/>
  <cols>
    <col min="1" max="1" width="12.1640625" customWidth="1"/>
    <col min="2" max="2" width="24.83203125" customWidth="1"/>
    <col min="3" max="3" width="16.83203125" customWidth="1"/>
    <col min="4" max="4" width="18.83203125" customWidth="1"/>
    <col min="6" max="6" width="13.5" customWidth="1"/>
    <col min="7" max="7" width="13.6640625" customWidth="1"/>
  </cols>
  <sheetData>
    <row r="1" spans="1:8">
      <c r="B1" t="s">
        <v>97</v>
      </c>
    </row>
    <row r="2" spans="1:8">
      <c r="B2" t="s">
        <v>14</v>
      </c>
      <c r="C2" t="s">
        <v>72</v>
      </c>
      <c r="D2" t="s">
        <v>73</v>
      </c>
    </row>
    <row r="3" spans="1:8">
      <c r="B3" t="s">
        <v>74</v>
      </c>
      <c r="C3" s="2">
        <v>34700</v>
      </c>
    </row>
    <row r="4" spans="1:8">
      <c r="B4" t="s">
        <v>75</v>
      </c>
      <c r="C4" s="3">
        <v>60000</v>
      </c>
      <c r="D4" s="3">
        <v>160000</v>
      </c>
    </row>
    <row r="5" spans="1:8">
      <c r="B5" t="s">
        <v>15</v>
      </c>
      <c r="C5" s="3">
        <v>50000</v>
      </c>
      <c r="D5" s="3">
        <v>110000</v>
      </c>
      <c r="E5" t="s">
        <v>79</v>
      </c>
    </row>
    <row r="6" spans="1:8">
      <c r="B6" t="s">
        <v>76</v>
      </c>
      <c r="D6" s="3">
        <v>100000</v>
      </c>
    </row>
    <row r="7" spans="1:8">
      <c r="B7" t="s">
        <v>77</v>
      </c>
      <c r="D7" s="3">
        <v>70000</v>
      </c>
    </row>
    <row r="9" spans="1:8">
      <c r="B9" t="s">
        <v>78</v>
      </c>
    </row>
    <row r="14" spans="1:8">
      <c r="A14" t="s">
        <v>96</v>
      </c>
    </row>
    <row r="15" spans="1:8">
      <c r="C15" s="5" t="s">
        <v>90</v>
      </c>
      <c r="D15" s="5" t="s">
        <v>91</v>
      </c>
      <c r="E15" t="s">
        <v>92</v>
      </c>
      <c r="F15" t="s">
        <v>93</v>
      </c>
      <c r="G15" t="s">
        <v>94</v>
      </c>
      <c r="H15" t="s">
        <v>95</v>
      </c>
    </row>
    <row r="16" spans="1:8">
      <c r="A16" t="s">
        <v>15</v>
      </c>
      <c r="B16" t="s">
        <v>80</v>
      </c>
      <c r="C16">
        <v>80</v>
      </c>
    </row>
    <row r="17" spans="1:8">
      <c r="B17" t="s">
        <v>81</v>
      </c>
      <c r="C17">
        <v>90</v>
      </c>
    </row>
    <row r="18" spans="1:8">
      <c r="B18" t="s">
        <v>82</v>
      </c>
      <c r="C18">
        <v>80</v>
      </c>
    </row>
    <row r="19" spans="1:8">
      <c r="B19" t="s">
        <v>83</v>
      </c>
      <c r="C19">
        <v>100</v>
      </c>
    </row>
    <row r="20" spans="1:8">
      <c r="B20" t="s">
        <v>84</v>
      </c>
      <c r="C20">
        <v>80</v>
      </c>
      <c r="F20" s="3">
        <v>56000</v>
      </c>
      <c r="G20" s="3">
        <v>61000</v>
      </c>
      <c r="H20" s="3">
        <v>150000</v>
      </c>
    </row>
    <row r="21" spans="1:8">
      <c r="C21" t="s">
        <v>98</v>
      </c>
    </row>
    <row r="22" spans="1:8">
      <c r="A22" t="s">
        <v>76</v>
      </c>
      <c r="B22" t="s">
        <v>85</v>
      </c>
      <c r="C22">
        <v>40</v>
      </c>
      <c r="D22">
        <v>2948</v>
      </c>
      <c r="E22" s="14">
        <f>(100/D22)*C22</f>
        <v>1.3568521031207599</v>
      </c>
      <c r="F22" s="3">
        <v>52000</v>
      </c>
      <c r="G22" s="3">
        <v>57000</v>
      </c>
      <c r="H22" s="3">
        <v>125000</v>
      </c>
    </row>
    <row r="23" spans="1:8">
      <c r="B23" t="s">
        <v>86</v>
      </c>
      <c r="C23">
        <v>20</v>
      </c>
      <c r="D23">
        <v>2000</v>
      </c>
      <c r="E23" s="14">
        <f>(100/D23)*C23</f>
        <v>1</v>
      </c>
      <c r="F23" s="3">
        <v>50000</v>
      </c>
      <c r="G23" s="3">
        <v>55000</v>
      </c>
      <c r="H23" s="3">
        <v>105000</v>
      </c>
    </row>
    <row r="24" spans="1:8">
      <c r="B24" t="s">
        <v>87</v>
      </c>
      <c r="E24" s="14"/>
    </row>
    <row r="25" spans="1:8">
      <c r="B25" t="s">
        <v>88</v>
      </c>
      <c r="C25">
        <v>33</v>
      </c>
      <c r="D25">
        <v>1747</v>
      </c>
      <c r="E25" s="14">
        <f>(100/D25)*C25</f>
        <v>1.8889524899828278</v>
      </c>
      <c r="F25" s="3">
        <v>56000</v>
      </c>
      <c r="G25" s="3">
        <v>61000</v>
      </c>
      <c r="H25" s="3">
        <v>140000</v>
      </c>
    </row>
    <row r="26" spans="1:8">
      <c r="B26" t="s">
        <v>89</v>
      </c>
      <c r="C26">
        <v>35</v>
      </c>
      <c r="D26">
        <v>1500</v>
      </c>
      <c r="E26" s="14">
        <f>(100/D26)*C26</f>
        <v>2.3333333333333335</v>
      </c>
      <c r="F26" s="3">
        <v>54000</v>
      </c>
      <c r="G26" s="3">
        <v>59000</v>
      </c>
      <c r="H26" s="3">
        <v>120000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34D06-12E1-8A41-9845-61A12C0C326F}">
  <dimension ref="A1:P24"/>
  <sheetViews>
    <sheetView workbookViewId="0">
      <selection activeCell="K36" sqref="K36"/>
    </sheetView>
  </sheetViews>
  <sheetFormatPr baseColWidth="10" defaultRowHeight="16"/>
  <sheetData>
    <row r="1" spans="1:16" ht="24">
      <c r="A1" s="103" t="s">
        <v>368</v>
      </c>
      <c r="J1" s="5" t="s">
        <v>353</v>
      </c>
    </row>
    <row r="2" spans="1:16">
      <c r="J2" s="90"/>
      <c r="K2" s="75"/>
      <c r="L2" s="38" t="s">
        <v>294</v>
      </c>
      <c r="M2" s="91" t="s">
        <v>295</v>
      </c>
      <c r="O2" t="s">
        <v>327</v>
      </c>
    </row>
    <row r="3" spans="1:16">
      <c r="A3" t="s">
        <v>369</v>
      </c>
      <c r="J3" s="92"/>
      <c r="K3" s="87" t="s">
        <v>354</v>
      </c>
      <c r="L3" s="82">
        <v>0.61499999999999999</v>
      </c>
      <c r="M3" s="93">
        <v>0.83699999999999997</v>
      </c>
      <c r="O3" s="97" t="s">
        <v>328</v>
      </c>
      <c r="P3" s="100">
        <v>0.65500000000000003</v>
      </c>
    </row>
    <row r="4" spans="1:16">
      <c r="J4" s="92"/>
      <c r="K4" s="88"/>
      <c r="L4" s="84"/>
      <c r="M4" s="94"/>
      <c r="O4" s="98" t="s">
        <v>329</v>
      </c>
      <c r="P4" s="101">
        <v>0.32500000000000001</v>
      </c>
    </row>
    <row r="5" spans="1:16">
      <c r="A5" t="s">
        <v>370</v>
      </c>
      <c r="J5" s="92"/>
      <c r="K5" s="87" t="s">
        <v>355</v>
      </c>
      <c r="L5" s="82">
        <f>1-L3</f>
        <v>0.38500000000000001</v>
      </c>
      <c r="M5" s="95">
        <f>1-M3</f>
        <v>0.16300000000000003</v>
      </c>
      <c r="O5" s="99" t="s">
        <v>352</v>
      </c>
      <c r="P5" s="102">
        <v>0.02</v>
      </c>
    </row>
    <row r="6" spans="1:16">
      <c r="J6" s="92"/>
      <c r="K6" s="89"/>
      <c r="L6" s="83"/>
      <c r="M6" s="93"/>
    </row>
    <row r="7" spans="1:16">
      <c r="J7" s="92"/>
      <c r="K7" s="89" t="s">
        <v>356</v>
      </c>
      <c r="L7" s="83">
        <v>0.38</v>
      </c>
      <c r="M7" s="93">
        <v>0.83699999999999997</v>
      </c>
    </row>
    <row r="8" spans="1:16">
      <c r="A8" t="s">
        <v>371</v>
      </c>
      <c r="J8" s="92"/>
      <c r="K8" s="89"/>
      <c r="L8" s="83"/>
      <c r="M8" s="93"/>
    </row>
    <row r="9" spans="1:16">
      <c r="J9" s="92"/>
      <c r="K9" s="89" t="s">
        <v>357</v>
      </c>
      <c r="L9" s="83">
        <f>1-L7</f>
        <v>0.62</v>
      </c>
      <c r="M9" s="93">
        <f>1-M7</f>
        <v>0.16300000000000003</v>
      </c>
    </row>
    <row r="10" spans="1:16">
      <c r="J10" s="96"/>
      <c r="K10" s="10"/>
      <c r="L10" s="31"/>
      <c r="M10" s="10"/>
    </row>
    <row r="13" spans="1:16">
      <c r="J13" s="5" t="s">
        <v>358</v>
      </c>
    </row>
    <row r="14" spans="1:16">
      <c r="J14" s="90"/>
      <c r="K14" s="75"/>
      <c r="L14" s="38" t="s">
        <v>294</v>
      </c>
      <c r="M14" s="91" t="s">
        <v>295</v>
      </c>
    </row>
    <row r="15" spans="1:16">
      <c r="J15" s="92"/>
      <c r="K15" s="8" t="s">
        <v>359</v>
      </c>
      <c r="L15" s="83">
        <f>(P3*L3)/((P3*L3)+(P4*L7))</f>
        <v>0.7653541063031396</v>
      </c>
      <c r="M15" s="93">
        <f>(P3*M3)/((P3*M3)+(P4*M7))</f>
        <v>0.66836734693877553</v>
      </c>
    </row>
    <row r="16" spans="1:16">
      <c r="J16" s="92"/>
      <c r="K16" s="8"/>
      <c r="L16" s="83"/>
      <c r="M16" s="93"/>
    </row>
    <row r="17" spans="10:14">
      <c r="J17" s="92"/>
      <c r="K17" s="8" t="s">
        <v>360</v>
      </c>
      <c r="L17" s="83">
        <f>1-L15</f>
        <v>0.2346458936968604</v>
      </c>
      <c r="M17" s="93">
        <f>1-M15</f>
        <v>0.33163265306122447</v>
      </c>
      <c r="N17" t="s">
        <v>363</v>
      </c>
    </row>
    <row r="18" spans="10:14">
      <c r="J18" s="92"/>
      <c r="K18" s="8"/>
      <c r="L18" s="83"/>
      <c r="M18" s="93"/>
    </row>
    <row r="19" spans="10:14">
      <c r="J19" s="92"/>
      <c r="K19" s="8" t="s">
        <v>361</v>
      </c>
      <c r="L19" s="83">
        <f>(P3*L5)/((P3*L5)+(P4*L9))</f>
        <v>0.55584945170000555</v>
      </c>
      <c r="M19" s="93">
        <f>(P3*M5)/((P3*M5)+(P4*M9))</f>
        <v>0.66836734693877542</v>
      </c>
    </row>
    <row r="20" spans="10:14">
      <c r="J20" s="92"/>
      <c r="K20" s="8"/>
      <c r="L20" s="83"/>
      <c r="M20" s="93"/>
    </row>
    <row r="21" spans="10:14">
      <c r="J21" s="92"/>
      <c r="K21" s="8" t="s">
        <v>362</v>
      </c>
      <c r="L21" s="83">
        <f>1-L19</f>
        <v>0.44415054829999445</v>
      </c>
      <c r="M21" s="93">
        <f>1-M19</f>
        <v>0.33163265306122458</v>
      </c>
    </row>
    <row r="22" spans="10:14">
      <c r="J22" s="96"/>
      <c r="K22" s="10"/>
      <c r="L22" s="31"/>
      <c r="M22" s="10"/>
    </row>
    <row r="24" spans="10:14">
      <c r="J24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7BB90-C7CE-4C42-A4B1-18D2D9E20F23}">
  <dimension ref="A2:D10"/>
  <sheetViews>
    <sheetView workbookViewId="0">
      <selection activeCell="C15" sqref="C15"/>
    </sheetView>
  </sheetViews>
  <sheetFormatPr baseColWidth="10" defaultRowHeight="16"/>
  <cols>
    <col min="2" max="2" width="14" customWidth="1"/>
    <col min="3" max="3" width="12.5" customWidth="1"/>
  </cols>
  <sheetData>
    <row r="2" spans="1:4">
      <c r="A2" t="s">
        <v>313</v>
      </c>
    </row>
    <row r="3" spans="1:4">
      <c r="A3" s="37" t="s">
        <v>314</v>
      </c>
      <c r="B3" s="37" t="s">
        <v>315</v>
      </c>
      <c r="C3" s="37" t="s">
        <v>316</v>
      </c>
      <c r="D3" t="s">
        <v>351</v>
      </c>
    </row>
    <row r="4" spans="1:4">
      <c r="A4">
        <v>2019</v>
      </c>
      <c r="B4">
        <v>54</v>
      </c>
      <c r="C4">
        <v>45</v>
      </c>
    </row>
    <row r="5" spans="1:4">
      <c r="A5">
        <v>2020</v>
      </c>
      <c r="B5">
        <v>74</v>
      </c>
      <c r="C5">
        <v>25</v>
      </c>
    </row>
    <row r="6" spans="1:4">
      <c r="A6">
        <v>2021</v>
      </c>
      <c r="B6">
        <v>71</v>
      </c>
      <c r="C6">
        <v>29</v>
      </c>
    </row>
    <row r="7" spans="1:4">
      <c r="A7">
        <v>2022</v>
      </c>
      <c r="B7">
        <v>60</v>
      </c>
      <c r="C7">
        <v>36</v>
      </c>
    </row>
    <row r="8" spans="1:4">
      <c r="A8" s="37" t="s">
        <v>34</v>
      </c>
      <c r="B8" s="37">
        <f>MEDIAN(B4:B7)</f>
        <v>65.5</v>
      </c>
      <c r="C8" s="37">
        <f>MEDIAN(C4:C7)</f>
        <v>32.5</v>
      </c>
    </row>
    <row r="9" spans="1:4">
      <c r="A9" s="37" t="s">
        <v>317</v>
      </c>
      <c r="B9" s="37" t="s">
        <v>318</v>
      </c>
      <c r="C9" s="37" t="s">
        <v>319</v>
      </c>
      <c r="D9" t="s">
        <v>350</v>
      </c>
    </row>
    <row r="10" spans="1:4">
      <c r="A10" t="s">
        <v>320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0BA52-1387-D342-BCFB-ED9104CFF805}">
  <dimension ref="A1:E18"/>
  <sheetViews>
    <sheetView workbookViewId="0">
      <selection activeCell="B1" sqref="B1"/>
    </sheetView>
  </sheetViews>
  <sheetFormatPr baseColWidth="10" defaultRowHeight="16"/>
  <cols>
    <col min="1" max="1" width="26.5" customWidth="1"/>
  </cols>
  <sheetData>
    <row r="1" spans="1:5">
      <c r="A1" s="5" t="s">
        <v>367</v>
      </c>
    </row>
    <row r="3" spans="1:5">
      <c r="A3" t="s">
        <v>309</v>
      </c>
    </row>
    <row r="4" spans="1:5">
      <c r="A4" s="37"/>
      <c r="B4" s="37" t="s">
        <v>294</v>
      </c>
      <c r="C4" s="37" t="s">
        <v>295</v>
      </c>
    </row>
    <row r="5" spans="1:5">
      <c r="A5" t="s">
        <v>45</v>
      </c>
      <c r="B5" s="2">
        <v>182500</v>
      </c>
      <c r="C5" s="2">
        <v>177000</v>
      </c>
    </row>
    <row r="6" spans="1:5">
      <c r="A6" t="s">
        <v>308</v>
      </c>
      <c r="B6" s="2">
        <v>34930</v>
      </c>
      <c r="C6" s="2">
        <v>38140</v>
      </c>
    </row>
    <row r="7" spans="1:5">
      <c r="A7" t="s">
        <v>324</v>
      </c>
      <c r="B7" s="2">
        <v>256</v>
      </c>
      <c r="C7" s="2">
        <v>256</v>
      </c>
      <c r="E7" t="s">
        <v>325</v>
      </c>
    </row>
    <row r="8" spans="1:5">
      <c r="A8" s="34" t="s">
        <v>322</v>
      </c>
      <c r="B8" s="46">
        <f>B5-B6</f>
        <v>147570</v>
      </c>
      <c r="C8" s="46">
        <f>C5-C6</f>
        <v>138860</v>
      </c>
      <c r="E8" t="s">
        <v>326</v>
      </c>
    </row>
    <row r="9" spans="1:5">
      <c r="A9" s="31" t="s">
        <v>323</v>
      </c>
      <c r="B9" s="47">
        <f>B5-B6-B7</f>
        <v>147314</v>
      </c>
      <c r="C9" s="47">
        <f>C5-C6-C7</f>
        <v>138604</v>
      </c>
    </row>
    <row r="10" spans="1:5">
      <c r="B10" s="2"/>
      <c r="C10" s="2"/>
    </row>
    <row r="12" spans="1:5">
      <c r="A12" t="s">
        <v>311</v>
      </c>
    </row>
    <row r="13" spans="1:5">
      <c r="A13" s="37"/>
      <c r="B13" s="37" t="s">
        <v>294</v>
      </c>
      <c r="C13" s="37" t="s">
        <v>295</v>
      </c>
    </row>
    <row r="14" spans="1:5">
      <c r="A14" t="s">
        <v>45</v>
      </c>
      <c r="B14" s="2">
        <v>0</v>
      </c>
      <c r="C14" s="2">
        <v>0</v>
      </c>
    </row>
    <row r="15" spans="1:5">
      <c r="A15" t="s">
        <v>308</v>
      </c>
      <c r="B15" s="2">
        <v>34930</v>
      </c>
      <c r="C15" s="2">
        <v>38140</v>
      </c>
    </row>
    <row r="16" spans="1:5">
      <c r="A16" t="s">
        <v>321</v>
      </c>
      <c r="B16" s="2">
        <v>256</v>
      </c>
      <c r="C16" s="2">
        <v>256</v>
      </c>
    </row>
    <row r="17" spans="1:3">
      <c r="A17" s="34" t="s">
        <v>322</v>
      </c>
      <c r="B17" s="46">
        <f>B14-B15</f>
        <v>-34930</v>
      </c>
      <c r="C17" s="46">
        <f>C14-C15</f>
        <v>-38140</v>
      </c>
    </row>
    <row r="18" spans="1:3">
      <c r="A18" s="31" t="s">
        <v>323</v>
      </c>
      <c r="B18" s="47">
        <f>B14-B15-B16</f>
        <v>-35186</v>
      </c>
      <c r="C18" s="47">
        <f>C14-C15-C16</f>
        <v>-38396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4D6A4-C3DA-5D4F-A446-D8A70EB5E407}">
  <dimension ref="B1:L36"/>
  <sheetViews>
    <sheetView workbookViewId="0">
      <selection activeCell="I22" sqref="I22"/>
    </sheetView>
  </sheetViews>
  <sheetFormatPr baseColWidth="10" defaultRowHeight="16"/>
  <cols>
    <col min="1" max="1" width="13" customWidth="1"/>
    <col min="2" max="2" width="15.33203125" customWidth="1"/>
    <col min="6" max="6" width="13.6640625" customWidth="1"/>
    <col min="7" max="8" width="7.33203125" customWidth="1"/>
    <col min="9" max="9" width="8" customWidth="1"/>
    <col min="10" max="10" width="7.33203125" customWidth="1"/>
    <col min="11" max="11" width="8" customWidth="1"/>
  </cols>
  <sheetData>
    <row r="1" spans="2:12">
      <c r="B1" s="17"/>
      <c r="C1" s="17"/>
      <c r="D1" s="17"/>
      <c r="E1" s="17"/>
      <c r="F1" s="17"/>
      <c r="G1" s="17"/>
      <c r="H1" s="17"/>
    </row>
    <row r="2" spans="2:12">
      <c r="B2" s="56" t="s">
        <v>302</v>
      </c>
      <c r="C2" s="53"/>
      <c r="D2" s="53"/>
      <c r="E2" s="53"/>
      <c r="F2" s="53"/>
      <c r="G2" s="17"/>
      <c r="H2" s="17"/>
    </row>
    <row r="3" spans="2:12">
      <c r="B3" s="57"/>
      <c r="C3" s="126" t="s">
        <v>294</v>
      </c>
      <c r="D3" s="127"/>
      <c r="E3" s="128" t="s">
        <v>295</v>
      </c>
      <c r="F3" s="128"/>
      <c r="G3" s="17"/>
      <c r="H3" s="17"/>
    </row>
    <row r="4" spans="2:12">
      <c r="B4" s="58" t="s">
        <v>284</v>
      </c>
      <c r="C4" s="59" t="s">
        <v>281</v>
      </c>
      <c r="D4" s="60">
        <v>14850</v>
      </c>
      <c r="E4" s="59" t="s">
        <v>281</v>
      </c>
      <c r="F4" s="61">
        <v>14850</v>
      </c>
      <c r="G4" s="22"/>
      <c r="H4" s="51"/>
      <c r="I4" s="9"/>
      <c r="J4" s="52"/>
      <c r="K4" s="9"/>
    </row>
    <row r="5" spans="2:12">
      <c r="B5" s="62"/>
      <c r="C5" s="63" t="s">
        <v>282</v>
      </c>
      <c r="D5" s="64">
        <v>19950</v>
      </c>
      <c r="E5" s="63" t="s">
        <v>296</v>
      </c>
      <c r="F5" s="65">
        <v>18500</v>
      </c>
      <c r="G5" s="22"/>
      <c r="H5" s="54"/>
      <c r="I5" s="48"/>
      <c r="K5" s="48"/>
      <c r="L5" s="2"/>
    </row>
    <row r="6" spans="2:12">
      <c r="B6" s="57"/>
      <c r="C6" s="55"/>
      <c r="D6" s="66"/>
      <c r="E6" s="55"/>
      <c r="F6" s="55"/>
      <c r="G6" s="22"/>
      <c r="H6" s="54"/>
      <c r="I6" s="48"/>
      <c r="K6" s="48"/>
      <c r="L6" s="2"/>
    </row>
    <row r="7" spans="2:12">
      <c r="B7" s="57" t="s">
        <v>297</v>
      </c>
      <c r="C7" s="67" t="s">
        <v>298</v>
      </c>
      <c r="D7" s="68">
        <v>130</v>
      </c>
      <c r="E7" s="67" t="s">
        <v>299</v>
      </c>
      <c r="F7" s="69">
        <v>4790</v>
      </c>
      <c r="G7" s="22"/>
      <c r="H7" s="54"/>
      <c r="I7" s="9"/>
      <c r="K7" s="9"/>
    </row>
    <row r="8" spans="2:12">
      <c r="B8" s="57"/>
      <c r="C8" s="55"/>
      <c r="D8" s="66"/>
      <c r="E8" s="55"/>
      <c r="F8" s="55"/>
      <c r="G8" s="22"/>
      <c r="H8" s="17"/>
      <c r="I8" s="48"/>
      <c r="K8" s="48"/>
      <c r="L8" s="2"/>
    </row>
    <row r="9" spans="2:12" ht="17" thickBot="1">
      <c r="B9" s="70" t="s">
        <v>300</v>
      </c>
      <c r="C9" s="71"/>
      <c r="D9" s="72">
        <v>34930</v>
      </c>
      <c r="E9" s="71"/>
      <c r="F9" s="73">
        <v>38140</v>
      </c>
      <c r="G9" s="22"/>
      <c r="H9" s="54"/>
      <c r="I9" s="9"/>
      <c r="K9" s="9"/>
    </row>
    <row r="10" spans="2:12">
      <c r="B10" s="74" t="s">
        <v>301</v>
      </c>
      <c r="C10" s="17"/>
      <c r="D10" s="17"/>
      <c r="E10" s="17"/>
      <c r="F10" s="17"/>
      <c r="G10" s="32"/>
      <c r="H10" s="49"/>
      <c r="I10" s="50"/>
      <c r="J10" s="5"/>
      <c r="K10" s="50"/>
    </row>
    <row r="11" spans="2:12">
      <c r="B11" s="44"/>
      <c r="C11" s="44"/>
      <c r="D11" s="17"/>
      <c r="E11" s="17"/>
      <c r="F11" s="17"/>
      <c r="G11" s="17"/>
      <c r="H11" s="17"/>
    </row>
    <row r="12" spans="2:12">
      <c r="B12" s="44"/>
      <c r="C12" s="17"/>
      <c r="D12" s="17"/>
      <c r="E12" s="17"/>
      <c r="F12" s="17"/>
      <c r="G12" s="17"/>
      <c r="H12" s="17"/>
    </row>
    <row r="16" spans="2:12">
      <c r="B16" s="5" t="s">
        <v>303</v>
      </c>
    </row>
    <row r="17" spans="2:4">
      <c r="B17" s="37" t="s">
        <v>293</v>
      </c>
      <c r="C17" s="37" t="s">
        <v>288</v>
      </c>
    </row>
    <row r="18" spans="2:4">
      <c r="B18" t="s">
        <v>283</v>
      </c>
      <c r="C18" s="4">
        <v>132</v>
      </c>
    </row>
    <row r="19" spans="2:4">
      <c r="B19" t="s">
        <v>285</v>
      </c>
      <c r="C19" s="4">
        <v>110</v>
      </c>
    </row>
    <row r="20" spans="2:4">
      <c r="B20" t="s">
        <v>286</v>
      </c>
      <c r="C20" s="4">
        <v>178</v>
      </c>
    </row>
    <row r="21" spans="2:4">
      <c r="B21" t="s">
        <v>287</v>
      </c>
      <c r="C21" s="4">
        <v>100</v>
      </c>
    </row>
    <row r="22" spans="2:4">
      <c r="B22" s="37"/>
      <c r="C22" s="45"/>
    </row>
    <row r="23" spans="2:4">
      <c r="B23" t="s">
        <v>34</v>
      </c>
      <c r="C23" s="4">
        <f>MEDIAN(C18:C21)</f>
        <v>121</v>
      </c>
    </row>
    <row r="24" spans="2:4">
      <c r="B24" s="31" t="s">
        <v>35</v>
      </c>
      <c r="C24" s="30">
        <f>AVERAGE(C18:C21)</f>
        <v>130</v>
      </c>
    </row>
    <row r="25" spans="2:4">
      <c r="B25" t="s">
        <v>304</v>
      </c>
    </row>
    <row r="30" spans="2:4">
      <c r="C30" s="4"/>
      <c r="D30" s="7"/>
    </row>
    <row r="31" spans="2:4">
      <c r="C31" s="4"/>
      <c r="D31" s="7"/>
    </row>
    <row r="32" spans="2:4">
      <c r="C32" s="4"/>
      <c r="D32" s="7"/>
    </row>
    <row r="33" spans="3:4">
      <c r="C33" s="4"/>
      <c r="D33" s="7"/>
    </row>
    <row r="34" spans="3:4">
      <c r="C34" s="4"/>
      <c r="D34" s="7"/>
    </row>
    <row r="35" spans="3:4">
      <c r="C35" s="4"/>
      <c r="D35" s="7"/>
    </row>
    <row r="36" spans="3:4">
      <c r="C36" s="4"/>
      <c r="D36" s="7"/>
    </row>
  </sheetData>
  <mergeCells count="2">
    <mergeCell ref="C3:D3"/>
    <mergeCell ref="E3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4CA13-60C1-6846-AEA5-928B4A4AF4DA}">
  <dimension ref="A1:O74"/>
  <sheetViews>
    <sheetView tabSelected="1" topLeftCell="A30" workbookViewId="0">
      <selection activeCell="A63" sqref="A63:C74"/>
    </sheetView>
  </sheetViews>
  <sheetFormatPr baseColWidth="10" defaultRowHeight="16"/>
  <cols>
    <col min="1" max="1" width="16" customWidth="1"/>
    <col min="2" max="2" width="11.6640625" customWidth="1"/>
    <col min="3" max="3" width="8.83203125" customWidth="1"/>
  </cols>
  <sheetData>
    <row r="1" spans="1:15">
      <c r="A1" t="s">
        <v>0</v>
      </c>
    </row>
    <row r="2" spans="1:15">
      <c r="A2" t="s">
        <v>1</v>
      </c>
    </row>
    <row r="3" spans="1:15">
      <c r="A3" t="s">
        <v>9</v>
      </c>
      <c r="B3" t="s">
        <v>13</v>
      </c>
      <c r="C3" t="s">
        <v>10</v>
      </c>
      <c r="D3" s="1" t="s">
        <v>11</v>
      </c>
      <c r="F3" s="109"/>
      <c r="G3" s="109"/>
      <c r="H3" s="109"/>
      <c r="I3" s="78"/>
      <c r="J3" s="78"/>
      <c r="K3" s="109"/>
      <c r="L3" s="109"/>
      <c r="M3" s="78"/>
      <c r="N3" s="78"/>
      <c r="O3" s="78"/>
    </row>
    <row r="4" spans="1:15">
      <c r="A4" t="s">
        <v>2</v>
      </c>
      <c r="B4" s="8" t="s">
        <v>13</v>
      </c>
      <c r="C4">
        <v>61</v>
      </c>
      <c r="D4">
        <v>36</v>
      </c>
      <c r="F4" s="78"/>
      <c r="G4" s="78"/>
      <c r="H4" s="78"/>
      <c r="I4" s="78"/>
      <c r="J4" s="78"/>
      <c r="K4" s="78"/>
      <c r="L4" s="78"/>
      <c r="M4" s="78"/>
      <c r="N4" s="78"/>
      <c r="O4" s="78"/>
    </row>
    <row r="5" spans="1:15">
      <c r="B5" s="8" t="s">
        <v>12</v>
      </c>
      <c r="C5">
        <v>39</v>
      </c>
      <c r="D5">
        <v>64</v>
      </c>
      <c r="F5" s="78"/>
      <c r="G5" s="78"/>
      <c r="H5" s="78"/>
      <c r="I5" s="78"/>
      <c r="J5" s="78"/>
      <c r="K5" s="78"/>
      <c r="L5" s="78"/>
      <c r="M5" s="78"/>
      <c r="N5" s="78"/>
      <c r="O5" s="78"/>
    </row>
    <row r="6" spans="1:15">
      <c r="A6" t="s">
        <v>3</v>
      </c>
      <c r="B6" s="8" t="s">
        <v>13</v>
      </c>
      <c r="C6">
        <v>62</v>
      </c>
      <c r="D6">
        <v>40</v>
      </c>
      <c r="F6" s="78"/>
      <c r="G6" s="78"/>
      <c r="H6" s="78"/>
      <c r="I6" s="78"/>
      <c r="J6" s="78"/>
      <c r="K6" s="78"/>
      <c r="L6" s="78"/>
      <c r="M6" s="78"/>
      <c r="N6" s="78"/>
      <c r="O6" s="78"/>
    </row>
    <row r="7" spans="1:15">
      <c r="B7" s="8" t="s">
        <v>12</v>
      </c>
      <c r="C7">
        <v>38</v>
      </c>
      <c r="D7">
        <v>60</v>
      </c>
      <c r="F7" s="78"/>
      <c r="G7" s="78"/>
      <c r="H7" s="78"/>
      <c r="I7" s="78"/>
      <c r="J7" s="78"/>
      <c r="K7" s="78"/>
      <c r="L7" s="78"/>
      <c r="M7" s="78"/>
      <c r="N7" s="78"/>
      <c r="O7" s="78"/>
    </row>
    <row r="8" spans="1:15">
      <c r="A8" t="s">
        <v>4</v>
      </c>
      <c r="B8" s="8" t="s">
        <v>13</v>
      </c>
      <c r="C8">
        <v>70</v>
      </c>
      <c r="D8">
        <v>43</v>
      </c>
      <c r="F8" s="78"/>
      <c r="G8" s="78"/>
      <c r="H8" s="78"/>
      <c r="I8" s="78"/>
      <c r="J8" s="78"/>
      <c r="K8" s="78"/>
      <c r="L8" s="78"/>
      <c r="M8" s="78"/>
      <c r="N8" s="78"/>
      <c r="O8" s="78"/>
    </row>
    <row r="9" spans="1:15">
      <c r="B9" s="8" t="s">
        <v>12</v>
      </c>
      <c r="C9">
        <v>30</v>
      </c>
      <c r="D9">
        <v>57</v>
      </c>
      <c r="F9" s="78"/>
      <c r="G9" s="78"/>
      <c r="H9" s="78"/>
      <c r="I9" s="78"/>
      <c r="J9" s="78"/>
      <c r="K9" s="78"/>
      <c r="L9" s="78"/>
      <c r="M9" s="78"/>
      <c r="N9" s="78"/>
      <c r="O9" s="78"/>
    </row>
    <row r="10" spans="1:15">
      <c r="A10" t="s">
        <v>5</v>
      </c>
      <c r="B10" s="8" t="s">
        <v>13</v>
      </c>
      <c r="C10">
        <v>57</v>
      </c>
      <c r="D10">
        <v>35</v>
      </c>
      <c r="F10" s="78"/>
      <c r="G10" s="78"/>
      <c r="H10" s="78"/>
      <c r="I10" s="78"/>
      <c r="J10" s="78"/>
      <c r="K10" s="78"/>
      <c r="L10" s="78"/>
      <c r="M10" s="78"/>
      <c r="N10" s="78"/>
      <c r="O10" s="78"/>
    </row>
    <row r="11" spans="1:15">
      <c r="B11" s="8" t="s">
        <v>12</v>
      </c>
      <c r="C11">
        <v>43</v>
      </c>
      <c r="D11">
        <v>65</v>
      </c>
      <c r="F11" s="79"/>
      <c r="G11" s="79"/>
      <c r="H11" s="79"/>
      <c r="I11" s="79"/>
      <c r="J11" s="79"/>
      <c r="K11" s="79"/>
      <c r="L11" s="79"/>
      <c r="M11" s="79"/>
      <c r="N11" s="79"/>
      <c r="O11" s="79"/>
    </row>
    <row r="12" spans="1:15">
      <c r="A12" t="s">
        <v>6</v>
      </c>
      <c r="B12" s="8" t="s">
        <v>13</v>
      </c>
      <c r="C12">
        <v>52</v>
      </c>
      <c r="D12">
        <v>30</v>
      </c>
      <c r="F12" s="79"/>
      <c r="G12" s="79"/>
      <c r="H12" s="79"/>
      <c r="I12" s="79"/>
      <c r="J12" s="79"/>
      <c r="K12" s="79"/>
      <c r="L12" s="79"/>
      <c r="M12" s="79"/>
      <c r="N12" s="79"/>
      <c r="O12" s="79"/>
    </row>
    <row r="13" spans="1:15">
      <c r="B13" s="8" t="s">
        <v>12</v>
      </c>
      <c r="C13">
        <v>48</v>
      </c>
      <c r="D13">
        <v>70</v>
      </c>
      <c r="F13" s="78"/>
      <c r="G13" s="78"/>
      <c r="H13" s="78"/>
      <c r="I13" s="78"/>
      <c r="J13" s="78"/>
      <c r="K13" s="78"/>
      <c r="L13" s="78"/>
      <c r="M13" s="78"/>
      <c r="N13" s="78"/>
      <c r="O13" s="78"/>
    </row>
    <row r="14" spans="1:15">
      <c r="A14" t="s">
        <v>7</v>
      </c>
      <c r="B14" s="8" t="s">
        <v>13</v>
      </c>
      <c r="C14">
        <v>42</v>
      </c>
      <c r="D14">
        <v>19</v>
      </c>
      <c r="F14" s="78"/>
      <c r="G14" s="78"/>
      <c r="H14" s="78"/>
      <c r="I14" s="78"/>
      <c r="J14" s="78"/>
      <c r="K14" s="78"/>
      <c r="L14" s="78"/>
      <c r="M14" s="78"/>
      <c r="N14" s="78"/>
      <c r="O14" s="78"/>
    </row>
    <row r="15" spans="1:15">
      <c r="B15" s="8" t="s">
        <v>12</v>
      </c>
      <c r="C15">
        <v>58</v>
      </c>
      <c r="D15">
        <v>81</v>
      </c>
      <c r="F15" s="78"/>
      <c r="G15" s="78"/>
      <c r="H15" s="78"/>
      <c r="I15" s="78"/>
      <c r="J15" s="78"/>
      <c r="K15" s="78"/>
      <c r="L15" s="78"/>
      <c r="M15" s="78"/>
      <c r="N15" s="78"/>
      <c r="O15" s="78"/>
    </row>
    <row r="16" spans="1:15">
      <c r="A16" t="s">
        <v>8</v>
      </c>
      <c r="B16" s="8" t="s">
        <v>13</v>
      </c>
      <c r="C16">
        <v>17</v>
      </c>
      <c r="D16">
        <v>3</v>
      </c>
    </row>
    <row r="17" spans="1:7">
      <c r="B17" s="8" t="s">
        <v>12</v>
      </c>
      <c r="C17">
        <v>83</v>
      </c>
      <c r="D17">
        <v>97</v>
      </c>
    </row>
    <row r="20" spans="1:7">
      <c r="A20" t="s">
        <v>0</v>
      </c>
      <c r="B20" s="31"/>
      <c r="C20" s="31"/>
      <c r="D20" s="31"/>
    </row>
    <row r="21" spans="1:7">
      <c r="A21" s="129" t="s">
        <v>331</v>
      </c>
      <c r="B21" s="132" t="s">
        <v>71</v>
      </c>
      <c r="C21" s="133"/>
      <c r="D21" s="134"/>
      <c r="E21" t="s">
        <v>332</v>
      </c>
      <c r="F21" t="s">
        <v>333</v>
      </c>
    </row>
    <row r="22" spans="1:7" ht="17" thickBot="1">
      <c r="A22" s="130"/>
      <c r="B22" s="12" t="s">
        <v>10</v>
      </c>
      <c r="C22" s="13" t="s">
        <v>11</v>
      </c>
      <c r="D22" s="76" t="s">
        <v>330</v>
      </c>
      <c r="F22" t="s">
        <v>334</v>
      </c>
      <c r="G22" t="s">
        <v>335</v>
      </c>
    </row>
    <row r="23" spans="1:7">
      <c r="A23" s="8" t="s">
        <v>64</v>
      </c>
      <c r="B23" s="9">
        <v>61</v>
      </c>
      <c r="C23" s="9">
        <v>36</v>
      </c>
      <c r="D23" s="9">
        <v>9</v>
      </c>
      <c r="E23" s="41">
        <v>3342</v>
      </c>
    </row>
    <row r="24" spans="1:7">
      <c r="A24" s="8" t="s">
        <v>65</v>
      </c>
      <c r="B24" s="9">
        <v>62</v>
      </c>
      <c r="C24" s="9">
        <v>40</v>
      </c>
      <c r="D24" s="9">
        <v>9</v>
      </c>
      <c r="E24" s="41">
        <v>3030</v>
      </c>
    </row>
    <row r="25" spans="1:7">
      <c r="A25" s="8" t="s">
        <v>66</v>
      </c>
      <c r="B25" s="9">
        <v>70</v>
      </c>
      <c r="C25" s="9">
        <v>43</v>
      </c>
      <c r="D25" s="9">
        <v>12</v>
      </c>
      <c r="E25" s="41">
        <v>2820</v>
      </c>
    </row>
    <row r="26" spans="1:7">
      <c r="A26" s="8" t="s">
        <v>67</v>
      </c>
      <c r="B26" s="9">
        <v>57</v>
      </c>
      <c r="C26" s="9">
        <v>35</v>
      </c>
      <c r="D26" s="9">
        <v>7</v>
      </c>
      <c r="E26" s="41">
        <v>3369</v>
      </c>
    </row>
    <row r="27" spans="1:7">
      <c r="A27" s="8" t="s">
        <v>68</v>
      </c>
      <c r="B27" s="9">
        <v>52</v>
      </c>
      <c r="C27" s="9">
        <v>30</v>
      </c>
      <c r="D27" s="41">
        <v>2</v>
      </c>
      <c r="E27" s="41">
        <v>1685</v>
      </c>
    </row>
    <row r="28" spans="1:7">
      <c r="A28" s="8" t="s">
        <v>69</v>
      </c>
      <c r="B28" s="9">
        <v>42</v>
      </c>
      <c r="C28" s="9">
        <v>19</v>
      </c>
      <c r="D28" s="9">
        <v>4</v>
      </c>
      <c r="E28" s="41">
        <v>2116</v>
      </c>
    </row>
    <row r="29" spans="1:7">
      <c r="A29" s="10" t="s">
        <v>70</v>
      </c>
      <c r="B29" s="11">
        <v>17</v>
      </c>
      <c r="C29" s="11">
        <v>3</v>
      </c>
      <c r="D29" s="11">
        <v>2</v>
      </c>
      <c r="E29" s="41">
        <v>2178</v>
      </c>
    </row>
    <row r="30" spans="1:7">
      <c r="A30" s="8" t="s">
        <v>306</v>
      </c>
    </row>
    <row r="33" spans="1:12">
      <c r="A33" s="74" t="s">
        <v>305</v>
      </c>
      <c r="B33" s="17"/>
      <c r="C33" s="31"/>
      <c r="D33" s="31"/>
    </row>
    <row r="34" spans="1:12">
      <c r="A34" s="129" t="s">
        <v>331</v>
      </c>
      <c r="B34" s="132" t="s">
        <v>71</v>
      </c>
      <c r="C34" s="133"/>
      <c r="D34" s="134"/>
    </row>
    <row r="35" spans="1:12" ht="17" thickBot="1">
      <c r="A35" s="131"/>
      <c r="B35" s="12" t="s">
        <v>10</v>
      </c>
      <c r="C35" s="13" t="s">
        <v>11</v>
      </c>
      <c r="D35" s="76" t="s">
        <v>330</v>
      </c>
    </row>
    <row r="36" spans="1:12">
      <c r="A36" s="8" t="s">
        <v>64</v>
      </c>
      <c r="B36" s="9">
        <v>61</v>
      </c>
      <c r="C36" s="9">
        <v>36</v>
      </c>
      <c r="D36" s="77">
        <v>9</v>
      </c>
    </row>
    <row r="37" spans="1:12">
      <c r="A37" s="8" t="s">
        <v>65</v>
      </c>
      <c r="B37" s="9">
        <v>62</v>
      </c>
      <c r="C37" s="9">
        <v>40</v>
      </c>
      <c r="D37" s="77">
        <v>9</v>
      </c>
    </row>
    <row r="38" spans="1:12">
      <c r="A38" s="8" t="s">
        <v>66</v>
      </c>
      <c r="B38" s="9">
        <v>70</v>
      </c>
      <c r="C38" s="9">
        <v>43</v>
      </c>
      <c r="D38" s="77">
        <v>12</v>
      </c>
    </row>
    <row r="39" spans="1:12">
      <c r="A39" s="8" t="s">
        <v>67</v>
      </c>
      <c r="B39" s="9">
        <v>57</v>
      </c>
      <c r="C39" s="11">
        <v>35</v>
      </c>
      <c r="D39" s="77">
        <v>7</v>
      </c>
    </row>
    <row r="40" spans="1:12">
      <c r="A40" s="75" t="s">
        <v>34</v>
      </c>
      <c r="B40" s="37">
        <f>MEDIAN(B36:B39)</f>
        <v>61.5</v>
      </c>
      <c r="C40" s="31">
        <f>MEDIAN(C36:C39)</f>
        <v>38</v>
      </c>
      <c r="D40" s="37">
        <f>MEDIAN(D36:D39)</f>
        <v>9</v>
      </c>
    </row>
    <row r="41" spans="1:12">
      <c r="A41" s="8" t="s">
        <v>307</v>
      </c>
    </row>
    <row r="46" spans="1:12">
      <c r="A46" s="111" t="s">
        <v>331</v>
      </c>
      <c r="B46" s="34" t="s">
        <v>347</v>
      </c>
      <c r="C46" s="135" t="s">
        <v>333</v>
      </c>
      <c r="D46" s="136"/>
      <c r="E46" s="115" t="s">
        <v>376</v>
      </c>
      <c r="F46" s="116"/>
      <c r="G46" s="116"/>
      <c r="H46" s="117"/>
      <c r="I46" s="117"/>
      <c r="J46" s="118"/>
    </row>
    <row r="47" spans="1:12">
      <c r="A47" s="112"/>
      <c r="B47" s="80" t="s">
        <v>348</v>
      </c>
      <c r="C47" s="104" t="s">
        <v>334</v>
      </c>
      <c r="D47" s="122" t="s">
        <v>349</v>
      </c>
      <c r="E47" s="119" t="s">
        <v>315</v>
      </c>
      <c r="F47" s="120" t="s">
        <v>373</v>
      </c>
      <c r="G47" s="120" t="s">
        <v>316</v>
      </c>
      <c r="H47" s="120" t="s">
        <v>374</v>
      </c>
      <c r="I47" s="120" t="s">
        <v>372</v>
      </c>
      <c r="J47" s="121" t="s">
        <v>375</v>
      </c>
    </row>
    <row r="48" spans="1:12">
      <c r="A48" s="113" t="s">
        <v>336</v>
      </c>
      <c r="B48" s="41">
        <v>1644</v>
      </c>
      <c r="C48" s="105">
        <v>65</v>
      </c>
      <c r="D48" s="106">
        <f>B48*0.65</f>
        <v>1068.6000000000001</v>
      </c>
      <c r="E48" s="123">
        <v>0.13</v>
      </c>
      <c r="F48" s="78">
        <f>B48*E48</f>
        <v>213.72</v>
      </c>
      <c r="G48" s="123">
        <v>0.5</v>
      </c>
      <c r="H48" s="78">
        <f>B48*G48</f>
        <v>822</v>
      </c>
      <c r="I48" s="123">
        <v>0.25</v>
      </c>
      <c r="J48" s="125">
        <f>B48*I48</f>
        <v>411</v>
      </c>
      <c r="K48" s="79"/>
      <c r="L48" s="79"/>
    </row>
    <row r="49" spans="1:10">
      <c r="A49" s="113" t="s">
        <v>337</v>
      </c>
      <c r="B49" s="41">
        <v>1698</v>
      </c>
      <c r="C49" s="105">
        <v>60</v>
      </c>
      <c r="D49" s="106">
        <f>B49*0.6</f>
        <v>1018.8</v>
      </c>
      <c r="E49" s="123">
        <v>0.14000000000000001</v>
      </c>
      <c r="F49" s="78">
        <f t="shared" ref="F49:F58" si="0">B49*E49</f>
        <v>237.72000000000003</v>
      </c>
      <c r="G49" s="123">
        <v>0.49</v>
      </c>
      <c r="H49" s="78">
        <f t="shared" ref="H49:H58" si="1">B49*G49</f>
        <v>832.02</v>
      </c>
      <c r="I49" s="123">
        <v>0.27</v>
      </c>
      <c r="J49" s="125">
        <f t="shared" ref="J49:J58" si="2">B49*I49</f>
        <v>458.46000000000004</v>
      </c>
    </row>
    <row r="50" spans="1:10">
      <c r="A50" s="113" t="s">
        <v>338</v>
      </c>
      <c r="B50" s="41">
        <v>1537</v>
      </c>
      <c r="C50" s="105">
        <v>61</v>
      </c>
      <c r="D50" s="106">
        <f>B50*0.61</f>
        <v>937.56999999999994</v>
      </c>
      <c r="E50" s="123">
        <v>0.16</v>
      </c>
      <c r="F50" s="78">
        <f t="shared" si="0"/>
        <v>245.92000000000002</v>
      </c>
      <c r="G50" s="123">
        <v>0.5</v>
      </c>
      <c r="H50" s="78">
        <f t="shared" si="1"/>
        <v>768.5</v>
      </c>
      <c r="I50" s="123">
        <v>0.25</v>
      </c>
      <c r="J50" s="125">
        <f t="shared" si="2"/>
        <v>384.25</v>
      </c>
    </row>
    <row r="51" spans="1:10">
      <c r="A51" s="113" t="s">
        <v>339</v>
      </c>
      <c r="B51" s="41">
        <v>1493</v>
      </c>
      <c r="C51" s="105">
        <v>59</v>
      </c>
      <c r="D51" s="106">
        <f>B51*0.59</f>
        <v>880.87</v>
      </c>
      <c r="E51" s="123">
        <v>0.18</v>
      </c>
      <c r="F51" s="78">
        <f t="shared" si="0"/>
        <v>268.74</v>
      </c>
      <c r="G51" s="123">
        <v>0.53</v>
      </c>
      <c r="H51" s="78">
        <f t="shared" si="1"/>
        <v>791.29000000000008</v>
      </c>
      <c r="I51" s="123">
        <v>0.25</v>
      </c>
      <c r="J51" s="125">
        <f t="shared" si="2"/>
        <v>373.25</v>
      </c>
    </row>
    <row r="52" spans="1:10">
      <c r="A52" s="113" t="s">
        <v>340</v>
      </c>
      <c r="B52" s="41">
        <v>1407</v>
      </c>
      <c r="C52" s="105">
        <v>55</v>
      </c>
      <c r="D52" s="106">
        <f>B52*0.55</f>
        <v>773.85</v>
      </c>
      <c r="E52" s="123">
        <v>0.18</v>
      </c>
      <c r="F52" s="78">
        <f t="shared" si="0"/>
        <v>253.26</v>
      </c>
      <c r="G52" s="123">
        <v>0.54</v>
      </c>
      <c r="H52" s="78">
        <f t="shared" si="1"/>
        <v>759.78000000000009</v>
      </c>
      <c r="I52" s="123">
        <v>0.21</v>
      </c>
      <c r="J52" s="125">
        <f t="shared" si="2"/>
        <v>295.46999999999997</v>
      </c>
    </row>
    <row r="53" spans="1:10">
      <c r="A53" s="113" t="s">
        <v>341</v>
      </c>
      <c r="B53" s="41">
        <v>1412</v>
      </c>
      <c r="C53" s="105">
        <v>54</v>
      </c>
      <c r="D53" s="106">
        <f>B53*0.54</f>
        <v>762.48</v>
      </c>
      <c r="E53" s="123">
        <v>0.2</v>
      </c>
      <c r="F53" s="78">
        <f t="shared" si="0"/>
        <v>282.40000000000003</v>
      </c>
      <c r="G53" s="123">
        <v>0.56000000000000005</v>
      </c>
      <c r="H53" s="78">
        <f t="shared" si="1"/>
        <v>790.72</v>
      </c>
      <c r="I53" s="123">
        <v>0.18</v>
      </c>
      <c r="J53" s="125">
        <f t="shared" si="2"/>
        <v>254.16</v>
      </c>
    </row>
    <row r="54" spans="1:10">
      <c r="A54" s="113" t="s">
        <v>342</v>
      </c>
      <c r="B54" s="41">
        <v>1619</v>
      </c>
      <c r="C54" s="105">
        <v>51</v>
      </c>
      <c r="D54" s="106">
        <f>B54*0.51</f>
        <v>825.69</v>
      </c>
      <c r="E54" s="124">
        <v>0.2</v>
      </c>
      <c r="F54" s="78">
        <f t="shared" si="0"/>
        <v>323.8</v>
      </c>
      <c r="G54" s="124">
        <v>0.53</v>
      </c>
      <c r="H54" s="78">
        <f t="shared" si="1"/>
        <v>858.07</v>
      </c>
      <c r="I54" s="124">
        <v>0.2</v>
      </c>
      <c r="J54" s="125">
        <f t="shared" si="2"/>
        <v>323.8</v>
      </c>
    </row>
    <row r="55" spans="1:10">
      <c r="A55" s="113" t="s">
        <v>343</v>
      </c>
      <c r="B55" s="41">
        <v>1750</v>
      </c>
      <c r="C55" s="105">
        <v>52</v>
      </c>
      <c r="D55" s="106">
        <f>B55*0.52</f>
        <v>910</v>
      </c>
      <c r="E55" s="124">
        <v>0.2</v>
      </c>
      <c r="F55" s="78">
        <f t="shared" si="0"/>
        <v>350</v>
      </c>
      <c r="G55" s="124">
        <v>0.53</v>
      </c>
      <c r="H55" s="78">
        <f t="shared" si="1"/>
        <v>927.5</v>
      </c>
      <c r="I55" s="124">
        <v>0.17</v>
      </c>
      <c r="J55" s="125">
        <f t="shared" si="2"/>
        <v>297.5</v>
      </c>
    </row>
    <row r="56" spans="1:10">
      <c r="A56" s="113" t="s">
        <v>344</v>
      </c>
      <c r="B56" s="41">
        <v>1685</v>
      </c>
      <c r="C56" s="105">
        <v>52</v>
      </c>
      <c r="D56" s="106">
        <f>B56*0.52</f>
        <v>876.2</v>
      </c>
      <c r="E56" s="123">
        <v>0.22</v>
      </c>
      <c r="F56" s="78">
        <f t="shared" si="0"/>
        <v>370.7</v>
      </c>
      <c r="G56" s="123">
        <v>0.56999999999999995</v>
      </c>
      <c r="H56" s="78">
        <f t="shared" si="1"/>
        <v>960.44999999999993</v>
      </c>
      <c r="I56" s="123">
        <v>0.16</v>
      </c>
      <c r="J56" s="125">
        <f t="shared" si="2"/>
        <v>269.60000000000002</v>
      </c>
    </row>
    <row r="57" spans="1:10">
      <c r="A57" s="113" t="s">
        <v>345</v>
      </c>
      <c r="B57" s="41">
        <v>2116</v>
      </c>
      <c r="C57" s="105">
        <v>57</v>
      </c>
      <c r="D57" s="106">
        <f>B57*0.57</f>
        <v>1206.1199999999999</v>
      </c>
      <c r="E57" s="123">
        <v>0.23</v>
      </c>
      <c r="F57" s="78">
        <f t="shared" si="0"/>
        <v>486.68</v>
      </c>
      <c r="G57" s="123">
        <v>0.48</v>
      </c>
      <c r="H57" s="78">
        <f t="shared" si="1"/>
        <v>1015.68</v>
      </c>
      <c r="I57" s="123">
        <v>0.21</v>
      </c>
      <c r="J57" s="125">
        <f t="shared" si="2"/>
        <v>444.35999999999996</v>
      </c>
    </row>
    <row r="58" spans="1:10">
      <c r="A58" s="113" t="s">
        <v>346</v>
      </c>
      <c r="B58" s="41">
        <v>2178</v>
      </c>
      <c r="C58" s="105">
        <v>55</v>
      </c>
      <c r="D58" s="106">
        <f>B58*0.55</f>
        <v>1197.9000000000001</v>
      </c>
      <c r="E58" s="123">
        <v>0.26</v>
      </c>
      <c r="F58" s="78">
        <f t="shared" si="0"/>
        <v>566.28</v>
      </c>
      <c r="G58" s="123">
        <v>0.52</v>
      </c>
      <c r="H58" s="78">
        <f t="shared" si="1"/>
        <v>1132.56</v>
      </c>
      <c r="I58" s="123">
        <v>0.18</v>
      </c>
      <c r="J58" s="125">
        <f t="shared" si="2"/>
        <v>392.03999999999996</v>
      </c>
    </row>
    <row r="59" spans="1:10">
      <c r="A59" s="114" t="s">
        <v>34</v>
      </c>
      <c r="B59" s="81">
        <f>MEDIAN(B48:B58)</f>
        <v>1644</v>
      </c>
      <c r="C59" s="107">
        <f>MEDIAN(C48:C58)</f>
        <v>55</v>
      </c>
      <c r="D59" s="108">
        <f>MEDIAN(D48:D58)</f>
        <v>910</v>
      </c>
      <c r="E59" s="110"/>
      <c r="F59" s="37"/>
      <c r="G59" s="37"/>
      <c r="H59" s="37"/>
      <c r="I59" s="37"/>
      <c r="J59" s="75"/>
    </row>
    <row r="63" spans="1:10">
      <c r="A63" s="119" t="s">
        <v>315</v>
      </c>
      <c r="B63" s="120" t="s">
        <v>316</v>
      </c>
      <c r="C63" s="120" t="s">
        <v>372</v>
      </c>
    </row>
    <row r="64" spans="1:10">
      <c r="A64" s="123">
        <v>0.13</v>
      </c>
      <c r="B64" s="123">
        <v>0.5</v>
      </c>
      <c r="C64" s="123">
        <v>0.25</v>
      </c>
    </row>
    <row r="65" spans="1:3">
      <c r="A65" s="123">
        <v>0.14000000000000001</v>
      </c>
      <c r="B65" s="123">
        <v>0.49</v>
      </c>
      <c r="C65" s="123">
        <v>0.27</v>
      </c>
    </row>
    <row r="66" spans="1:3">
      <c r="A66" s="123">
        <v>0.16</v>
      </c>
      <c r="B66" s="123">
        <v>0.5</v>
      </c>
      <c r="C66" s="123">
        <v>0.25</v>
      </c>
    </row>
    <row r="67" spans="1:3">
      <c r="A67" s="123">
        <v>0.18</v>
      </c>
      <c r="B67" s="123">
        <v>0.53</v>
      </c>
      <c r="C67" s="123">
        <v>0.25</v>
      </c>
    </row>
    <row r="68" spans="1:3">
      <c r="A68" s="123">
        <v>0.18</v>
      </c>
      <c r="B68" s="123">
        <v>0.54</v>
      </c>
      <c r="C68" s="123">
        <v>0.21</v>
      </c>
    </row>
    <row r="69" spans="1:3">
      <c r="A69" s="123">
        <v>0.2</v>
      </c>
      <c r="B69" s="123">
        <v>0.56000000000000005</v>
      </c>
      <c r="C69" s="123">
        <v>0.18</v>
      </c>
    </row>
    <row r="70" spans="1:3">
      <c r="A70" s="124">
        <v>0.2</v>
      </c>
      <c r="B70" s="124">
        <v>0.53</v>
      </c>
      <c r="C70" s="124">
        <v>0.2</v>
      </c>
    </row>
    <row r="71" spans="1:3">
      <c r="A71" s="124">
        <v>0.2</v>
      </c>
      <c r="B71" s="124">
        <v>0.53</v>
      </c>
      <c r="C71" s="124">
        <v>0.17</v>
      </c>
    </row>
    <row r="72" spans="1:3">
      <c r="A72" s="123">
        <v>0.22</v>
      </c>
      <c r="B72" s="123">
        <v>0.56999999999999995</v>
      </c>
      <c r="C72" s="123">
        <v>0.16</v>
      </c>
    </row>
    <row r="73" spans="1:3">
      <c r="A73" s="123">
        <v>0.23</v>
      </c>
      <c r="B73" s="123">
        <v>0.48</v>
      </c>
      <c r="C73" s="123">
        <v>0.21</v>
      </c>
    </row>
    <row r="74" spans="1:3">
      <c r="A74" s="123">
        <v>0.26</v>
      </c>
      <c r="B74" s="123">
        <v>0.52</v>
      </c>
      <c r="C74" s="123">
        <v>0.18</v>
      </c>
    </row>
  </sheetData>
  <mergeCells count="5">
    <mergeCell ref="A21:A22"/>
    <mergeCell ref="A34:A35"/>
    <mergeCell ref="B21:D21"/>
    <mergeCell ref="B34:D34"/>
    <mergeCell ref="C46:D46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7EDF5-6E60-6C4B-B9B7-36AA7478C7E3}">
  <dimension ref="A1:U39"/>
  <sheetViews>
    <sheetView topLeftCell="A2" workbookViewId="0">
      <selection activeCell="N25" sqref="N25"/>
    </sheetView>
  </sheetViews>
  <sheetFormatPr baseColWidth="10" defaultRowHeight="16"/>
  <cols>
    <col min="1" max="1" width="11" customWidth="1"/>
    <col min="2" max="2" width="8.1640625" customWidth="1"/>
    <col min="3" max="4" width="7.6640625" customWidth="1"/>
    <col min="5" max="5" width="8.33203125" customWidth="1"/>
    <col min="6" max="6" width="7.33203125" customWidth="1"/>
    <col min="7" max="8" width="8.6640625" customWidth="1"/>
    <col min="9" max="9" width="9.5" customWidth="1"/>
    <col min="10" max="10" width="11.33203125" customWidth="1"/>
    <col min="12" max="12" width="16.1640625" customWidth="1"/>
    <col min="13" max="14" width="15.5" customWidth="1"/>
    <col min="15" max="15" width="24.6640625" customWidth="1"/>
  </cols>
  <sheetData>
    <row r="1" spans="1:21">
      <c r="A1" t="s">
        <v>16</v>
      </c>
      <c r="L1" t="s">
        <v>38</v>
      </c>
    </row>
    <row r="2" spans="1:21">
      <c r="A2" t="s">
        <v>17</v>
      </c>
      <c r="L2" t="s">
        <v>40</v>
      </c>
    </row>
    <row r="3" spans="1:21">
      <c r="B3" s="2"/>
      <c r="H3" s="2"/>
      <c r="L3" t="s">
        <v>39</v>
      </c>
    </row>
    <row r="4" spans="1:21">
      <c r="B4" s="2"/>
      <c r="L4" t="s">
        <v>41</v>
      </c>
    </row>
    <row r="6" spans="1:21">
      <c r="A6" t="s">
        <v>16</v>
      </c>
      <c r="B6" s="2"/>
    </row>
    <row r="7" spans="1:21">
      <c r="T7" s="137"/>
      <c r="U7" s="137"/>
    </row>
    <row r="8" spans="1:21">
      <c r="A8" s="34"/>
      <c r="B8" s="138" t="s">
        <v>28</v>
      </c>
      <c r="C8" s="138"/>
      <c r="D8" s="138" t="s">
        <v>29</v>
      </c>
      <c r="E8" s="138"/>
      <c r="F8" s="138" t="s">
        <v>30</v>
      </c>
      <c r="G8" s="138"/>
      <c r="H8" s="138" t="s">
        <v>31</v>
      </c>
      <c r="I8" s="138"/>
      <c r="J8" s="5"/>
      <c r="K8" t="s">
        <v>289</v>
      </c>
      <c r="L8" s="9" t="s">
        <v>42</v>
      </c>
      <c r="M8" s="9" t="s">
        <v>43</v>
      </c>
      <c r="N8" s="9" t="s">
        <v>44</v>
      </c>
      <c r="O8" s="9" t="s">
        <v>45</v>
      </c>
    </row>
    <row r="9" spans="1:21">
      <c r="A9" s="35" t="s">
        <v>18</v>
      </c>
      <c r="B9" s="36" t="s">
        <v>32</v>
      </c>
      <c r="C9" s="36" t="s">
        <v>33</v>
      </c>
      <c r="D9" s="11" t="s">
        <v>32</v>
      </c>
      <c r="E9" s="11" t="s">
        <v>33</v>
      </c>
      <c r="F9" s="11" t="s">
        <v>32</v>
      </c>
      <c r="G9" s="11" t="s">
        <v>33</v>
      </c>
      <c r="H9" s="11" t="s">
        <v>32</v>
      </c>
      <c r="I9" s="11" t="s">
        <v>33</v>
      </c>
      <c r="K9" t="s">
        <v>32</v>
      </c>
      <c r="L9" s="23">
        <v>25000</v>
      </c>
      <c r="M9" s="23">
        <v>45000</v>
      </c>
      <c r="N9" s="23">
        <v>55000</v>
      </c>
      <c r="O9" s="23">
        <f>SUM(L9:N9)</f>
        <v>125000</v>
      </c>
      <c r="T9" s="4"/>
      <c r="U9" s="4"/>
    </row>
    <row r="10" spans="1:21" ht="17" thickBot="1">
      <c r="A10" s="5" t="s">
        <v>19</v>
      </c>
      <c r="B10" s="23">
        <v>45000</v>
      </c>
      <c r="C10" s="23">
        <v>70000</v>
      </c>
      <c r="D10" s="23">
        <v>70000</v>
      </c>
      <c r="E10" s="23">
        <v>150000</v>
      </c>
      <c r="F10" s="23">
        <v>80000</v>
      </c>
      <c r="G10" s="23">
        <v>200000</v>
      </c>
      <c r="H10" s="23">
        <v>150000</v>
      </c>
      <c r="I10" s="23">
        <v>400000</v>
      </c>
      <c r="J10" s="4"/>
      <c r="K10" t="s">
        <v>33</v>
      </c>
      <c r="L10" s="23">
        <v>60000</v>
      </c>
      <c r="M10" s="23">
        <v>90000</v>
      </c>
      <c r="N10" s="23">
        <v>90000</v>
      </c>
      <c r="O10" s="23">
        <f>SUM(L10:N10)</f>
        <v>240000</v>
      </c>
      <c r="T10" s="4"/>
      <c r="U10" s="4"/>
    </row>
    <row r="11" spans="1:21" ht="17" thickBot="1">
      <c r="A11" s="5" t="s">
        <v>20</v>
      </c>
      <c r="B11" s="23">
        <v>20000</v>
      </c>
      <c r="C11" s="23">
        <v>70000</v>
      </c>
      <c r="D11" s="23">
        <v>35000</v>
      </c>
      <c r="E11" s="23">
        <v>80000</v>
      </c>
      <c r="F11" s="23">
        <v>40000</v>
      </c>
      <c r="G11" s="23">
        <v>90000</v>
      </c>
      <c r="H11" s="23">
        <v>70000</v>
      </c>
      <c r="I11" s="23">
        <v>150000</v>
      </c>
      <c r="J11" s="4"/>
      <c r="K11" t="s">
        <v>35</v>
      </c>
      <c r="L11" s="23">
        <f>AVERAGE(L9:L10)</f>
        <v>42500</v>
      </c>
      <c r="M11" s="23">
        <f>AVERAGE(M9:M10)</f>
        <v>67500</v>
      </c>
      <c r="N11" s="23">
        <f>AVERAGE(N9:N10)</f>
        <v>72500</v>
      </c>
      <c r="O11" s="33">
        <f>AVERAGE(O9:O10)</f>
        <v>182500</v>
      </c>
      <c r="T11" s="4"/>
      <c r="U11" s="4"/>
    </row>
    <row r="12" spans="1:21">
      <c r="A12" s="5" t="s">
        <v>21</v>
      </c>
      <c r="B12" s="23">
        <v>12000</v>
      </c>
      <c r="C12" s="23">
        <v>20000</v>
      </c>
      <c r="D12" s="23">
        <v>14000</v>
      </c>
      <c r="E12" s="23">
        <v>30000</v>
      </c>
      <c r="F12" s="23">
        <v>16000</v>
      </c>
      <c r="G12" s="23">
        <v>40000</v>
      </c>
      <c r="H12" s="23">
        <v>40000</v>
      </c>
      <c r="I12" s="23">
        <v>100000</v>
      </c>
      <c r="J12" s="4"/>
      <c r="K12" t="s">
        <v>16</v>
      </c>
      <c r="O12" s="3"/>
      <c r="T12" s="4"/>
      <c r="U12" s="4"/>
    </row>
    <row r="13" spans="1:21">
      <c r="A13" s="5" t="s">
        <v>22</v>
      </c>
      <c r="B13" s="23">
        <v>15000</v>
      </c>
      <c r="C13" s="23">
        <v>30000</v>
      </c>
      <c r="D13" s="23">
        <v>40000</v>
      </c>
      <c r="E13" s="23">
        <v>50000</v>
      </c>
      <c r="F13" s="23">
        <v>48000</v>
      </c>
      <c r="G13" s="23">
        <v>75000</v>
      </c>
      <c r="H13" s="23">
        <v>60000</v>
      </c>
      <c r="I13" s="23">
        <v>130000</v>
      </c>
      <c r="J13" s="4"/>
      <c r="K13" t="s">
        <v>312</v>
      </c>
      <c r="T13" s="4"/>
      <c r="U13" s="4"/>
    </row>
    <row r="14" spans="1:21">
      <c r="A14" s="5" t="s">
        <v>23</v>
      </c>
      <c r="B14" s="23">
        <v>14000</v>
      </c>
      <c r="C14" s="23">
        <v>35000</v>
      </c>
      <c r="D14" s="23">
        <v>16000</v>
      </c>
      <c r="E14" s="23">
        <v>40000</v>
      </c>
      <c r="F14" s="23">
        <v>18000</v>
      </c>
      <c r="G14" s="23">
        <v>55000</v>
      </c>
      <c r="H14" s="23">
        <v>50000</v>
      </c>
      <c r="I14" s="23">
        <v>120000</v>
      </c>
      <c r="J14" s="4"/>
      <c r="T14" s="4"/>
      <c r="U14" s="4"/>
    </row>
    <row r="15" spans="1:21">
      <c r="A15" s="5" t="s">
        <v>24</v>
      </c>
      <c r="B15" s="23">
        <v>40000</v>
      </c>
      <c r="C15" s="23">
        <v>75000</v>
      </c>
      <c r="D15" s="23">
        <v>80000</v>
      </c>
      <c r="E15" s="23">
        <v>180000</v>
      </c>
      <c r="F15" s="23">
        <v>90000</v>
      </c>
      <c r="G15" s="23">
        <v>250000</v>
      </c>
      <c r="H15" s="23">
        <v>200000</v>
      </c>
      <c r="I15" s="23">
        <v>500000</v>
      </c>
      <c r="J15" s="4"/>
      <c r="T15" s="4"/>
      <c r="U15" s="4"/>
    </row>
    <row r="16" spans="1:21">
      <c r="A16" s="5" t="s">
        <v>25</v>
      </c>
      <c r="B16" s="23">
        <v>40000</v>
      </c>
      <c r="C16" s="23">
        <v>60000</v>
      </c>
      <c r="D16" s="23">
        <v>60000</v>
      </c>
      <c r="E16" s="23">
        <v>120000</v>
      </c>
      <c r="F16" s="23">
        <v>70000</v>
      </c>
      <c r="G16" s="23">
        <v>180000</v>
      </c>
      <c r="H16" s="23">
        <v>150000</v>
      </c>
      <c r="I16" s="23">
        <v>350000</v>
      </c>
      <c r="J16" s="4"/>
      <c r="T16" s="4"/>
      <c r="U16" s="4"/>
    </row>
    <row r="17" spans="1:21">
      <c r="A17" s="5" t="s">
        <v>26</v>
      </c>
      <c r="B17" s="23">
        <v>25000</v>
      </c>
      <c r="C17" s="23">
        <v>50000</v>
      </c>
      <c r="D17" s="23">
        <v>45000</v>
      </c>
      <c r="E17" s="23">
        <v>90000</v>
      </c>
      <c r="F17" s="23">
        <v>55000</v>
      </c>
      <c r="G17" s="23">
        <v>130000</v>
      </c>
      <c r="H17" s="23">
        <v>90000</v>
      </c>
      <c r="I17" s="23">
        <v>220000</v>
      </c>
      <c r="J17" s="4"/>
      <c r="T17" s="4"/>
      <c r="U17" s="4"/>
    </row>
    <row r="18" spans="1:21">
      <c r="A18" s="5" t="s">
        <v>27</v>
      </c>
      <c r="B18" s="23">
        <v>45000</v>
      </c>
      <c r="C18" s="23">
        <v>75000</v>
      </c>
      <c r="D18" s="23">
        <v>70000</v>
      </c>
      <c r="E18" s="23">
        <v>140000</v>
      </c>
      <c r="F18" s="23">
        <v>80000</v>
      </c>
      <c r="G18" s="23">
        <v>200000</v>
      </c>
      <c r="H18" s="23">
        <v>180000</v>
      </c>
      <c r="I18" s="23">
        <v>400000</v>
      </c>
      <c r="J18" s="4"/>
    </row>
    <row r="19" spans="1:21">
      <c r="A19" s="37"/>
      <c r="B19" s="38"/>
      <c r="C19" s="38"/>
      <c r="D19" s="38"/>
      <c r="E19" s="38"/>
      <c r="F19" s="38"/>
      <c r="G19" s="38"/>
      <c r="H19" s="38"/>
      <c r="I19" s="38"/>
    </row>
    <row r="20" spans="1:21">
      <c r="A20" s="5" t="s">
        <v>34</v>
      </c>
      <c r="B20" s="23">
        <f t="shared" ref="B20:I20" si="0">MEDIAN(B10:B18)</f>
        <v>25000</v>
      </c>
      <c r="C20" s="23">
        <f t="shared" si="0"/>
        <v>60000</v>
      </c>
      <c r="D20" s="23">
        <f t="shared" si="0"/>
        <v>45000</v>
      </c>
      <c r="E20" s="23">
        <f t="shared" si="0"/>
        <v>90000</v>
      </c>
      <c r="F20" s="23">
        <f t="shared" si="0"/>
        <v>55000</v>
      </c>
      <c r="G20" s="23">
        <f t="shared" si="0"/>
        <v>130000</v>
      </c>
      <c r="H20" s="23">
        <f t="shared" si="0"/>
        <v>90000</v>
      </c>
      <c r="I20" s="23">
        <f t="shared" si="0"/>
        <v>220000</v>
      </c>
      <c r="J20" s="4"/>
      <c r="L20" s="4"/>
      <c r="M20" s="4"/>
      <c r="N20" s="4"/>
    </row>
    <row r="21" spans="1:21">
      <c r="A21" s="34"/>
      <c r="B21" s="39"/>
      <c r="C21" s="39"/>
      <c r="D21" s="39"/>
      <c r="E21" s="39"/>
      <c r="F21" s="39"/>
      <c r="G21" s="39"/>
      <c r="H21" s="39"/>
      <c r="I21" s="39"/>
      <c r="L21" s="4"/>
      <c r="M21" s="4"/>
      <c r="N21" s="4"/>
    </row>
    <row r="22" spans="1:21">
      <c r="A22" s="5" t="s">
        <v>36</v>
      </c>
      <c r="B22" s="23">
        <f>QUARTILE(B10:B18,1)</f>
        <v>15000</v>
      </c>
      <c r="C22" s="23">
        <f>QUARTILE(C10:C18,1)</f>
        <v>35000</v>
      </c>
      <c r="D22" s="23">
        <f t="shared" ref="D22:I22" si="1">QUARTILE(D10:D18,1)</f>
        <v>35000</v>
      </c>
      <c r="E22" s="23">
        <f t="shared" si="1"/>
        <v>50000</v>
      </c>
      <c r="F22" s="23">
        <f t="shared" si="1"/>
        <v>40000</v>
      </c>
      <c r="G22" s="23">
        <f t="shared" si="1"/>
        <v>75000</v>
      </c>
      <c r="H22" s="23">
        <f t="shared" si="1"/>
        <v>60000</v>
      </c>
      <c r="I22" s="23">
        <f t="shared" si="1"/>
        <v>130000</v>
      </c>
      <c r="J22" s="4"/>
    </row>
    <row r="23" spans="1:21">
      <c r="A23" s="5" t="s">
        <v>37</v>
      </c>
      <c r="B23" s="23">
        <f>QUARTILE(B10:B18,3)</f>
        <v>40000</v>
      </c>
      <c r="C23" s="23">
        <f>QUARTILE(C10:C18,3)</f>
        <v>70000</v>
      </c>
      <c r="D23" s="23">
        <f t="shared" ref="D23:I23" si="2">QUARTILE(D10:D18,3)</f>
        <v>70000</v>
      </c>
      <c r="E23" s="23">
        <f t="shared" si="2"/>
        <v>140000</v>
      </c>
      <c r="F23" s="23">
        <f t="shared" si="2"/>
        <v>80000</v>
      </c>
      <c r="G23" s="23">
        <f t="shared" si="2"/>
        <v>200000</v>
      </c>
      <c r="H23" s="23">
        <f t="shared" si="2"/>
        <v>150000</v>
      </c>
      <c r="I23" s="23">
        <f t="shared" si="2"/>
        <v>400000</v>
      </c>
      <c r="J23" s="4"/>
    </row>
    <row r="24" spans="1:21">
      <c r="B24" s="9"/>
      <c r="C24" s="9"/>
      <c r="D24" s="9"/>
      <c r="E24" s="9"/>
      <c r="F24" s="9"/>
      <c r="G24" s="9"/>
      <c r="H24" s="9"/>
      <c r="I24" s="9"/>
    </row>
    <row r="25" spans="1:21">
      <c r="A25" s="5" t="s">
        <v>35</v>
      </c>
      <c r="B25" s="23">
        <f t="shared" ref="B25:I25" si="3">AVERAGE(B16:B23)</f>
        <v>31666.666666666668</v>
      </c>
      <c r="C25" s="23">
        <f t="shared" si="3"/>
        <v>58333.333333333336</v>
      </c>
      <c r="D25" s="23">
        <f t="shared" si="3"/>
        <v>54166.666666666664</v>
      </c>
      <c r="E25" s="23">
        <f t="shared" si="3"/>
        <v>105000</v>
      </c>
      <c r="F25" s="23">
        <f t="shared" si="3"/>
        <v>63333.333333333336</v>
      </c>
      <c r="G25" s="23">
        <f t="shared" si="3"/>
        <v>152500</v>
      </c>
      <c r="H25" s="23">
        <f t="shared" si="3"/>
        <v>120000</v>
      </c>
      <c r="I25" s="23">
        <f t="shared" si="3"/>
        <v>286666.66666666669</v>
      </c>
      <c r="J25" s="4"/>
    </row>
    <row r="26" spans="1:21">
      <c r="A26" s="5" t="s">
        <v>46</v>
      </c>
      <c r="B26" s="9">
        <f t="shared" ref="B26:I26" si="4">STDEV(B10:B18)</f>
        <v>13956.280943638882</v>
      </c>
      <c r="C26" s="9">
        <f t="shared" si="4"/>
        <v>21032.382440206606</v>
      </c>
      <c r="D26" s="9">
        <f t="shared" si="4"/>
        <v>23868.272757877658</v>
      </c>
      <c r="E26" s="9">
        <f t="shared" si="4"/>
        <v>52862.505090512357</v>
      </c>
      <c r="F26" s="9">
        <f t="shared" si="4"/>
        <v>27072.946726288304</v>
      </c>
      <c r="G26" s="9">
        <f t="shared" si="4"/>
        <v>74809.944377587788</v>
      </c>
      <c r="H26" s="9">
        <f t="shared" si="4"/>
        <v>60415.229867972863</v>
      </c>
      <c r="I26" s="9">
        <f t="shared" si="4"/>
        <v>150249.7920131672</v>
      </c>
    </row>
    <row r="27" spans="1:21">
      <c r="A27" s="5"/>
    </row>
    <row r="28" spans="1:21">
      <c r="A28" s="5"/>
    </row>
    <row r="29" spans="1:21">
      <c r="A29" s="5" t="s">
        <v>47</v>
      </c>
      <c r="B29" s="137" t="s">
        <v>28</v>
      </c>
      <c r="C29" s="137"/>
      <c r="D29" s="137" t="s">
        <v>29</v>
      </c>
      <c r="E29" s="137"/>
      <c r="F29" s="137" t="s">
        <v>30</v>
      </c>
      <c r="G29" s="137"/>
      <c r="H29" s="137" t="s">
        <v>31</v>
      </c>
      <c r="I29" s="137"/>
      <c r="J29" s="5"/>
    </row>
    <row r="30" spans="1:21">
      <c r="A30" s="5" t="s">
        <v>18</v>
      </c>
      <c r="B30" s="3" t="s">
        <v>32</v>
      </c>
      <c r="C30" s="3" t="s">
        <v>33</v>
      </c>
      <c r="D30" t="s">
        <v>32</v>
      </c>
      <c r="E30" t="s">
        <v>33</v>
      </c>
      <c r="F30" t="s">
        <v>32</v>
      </c>
      <c r="G30" t="s">
        <v>33</v>
      </c>
      <c r="H30" t="s">
        <v>32</v>
      </c>
      <c r="I30" t="s">
        <v>33</v>
      </c>
    </row>
    <row r="31" spans="1:21">
      <c r="A31" s="5" t="s">
        <v>19</v>
      </c>
      <c r="B31" s="6">
        <f>(B10-B25)/B26</f>
        <v>0.95536435438486345</v>
      </c>
      <c r="C31" s="6">
        <f>(C10-C25)/C26</f>
        <v>0.55470019622522893</v>
      </c>
      <c r="D31" s="6">
        <f t="shared" ref="D31:I31" si="5">(D10-D25)/D26</f>
        <v>0.66336318065192157</v>
      </c>
      <c r="E31" s="6">
        <f t="shared" si="5"/>
        <v>0.85126499251123267</v>
      </c>
      <c r="F31" s="6">
        <f t="shared" si="5"/>
        <v>0.61562070930694213</v>
      </c>
      <c r="G31" s="6">
        <f t="shared" si="5"/>
        <v>0.63494232478310009</v>
      </c>
      <c r="H31" s="6">
        <f t="shared" si="5"/>
        <v>0.49656353316142077</v>
      </c>
      <c r="I31" s="6">
        <f t="shared" si="5"/>
        <v>0.7542994357250179</v>
      </c>
      <c r="J31" s="6"/>
    </row>
    <row r="32" spans="1:21">
      <c r="A32" s="5" t="s">
        <v>20</v>
      </c>
      <c r="B32" s="6">
        <f>(B11-B25)/B26</f>
        <v>-0.83594381008675567</v>
      </c>
      <c r="C32" s="6">
        <f>(C11-C25)/C26</f>
        <v>0.55470019622522893</v>
      </c>
      <c r="D32" s="6">
        <f t="shared" ref="D32:I32" si="6">(D11-D25)/D26</f>
        <v>-0.80301858710495755</v>
      </c>
      <c r="E32" s="6">
        <f t="shared" si="6"/>
        <v>-0.4729249958395737</v>
      </c>
      <c r="F32" s="6">
        <f t="shared" si="6"/>
        <v>-0.86186899302971931</v>
      </c>
      <c r="G32" s="6">
        <f t="shared" si="6"/>
        <v>-0.83545042734618435</v>
      </c>
      <c r="H32" s="6">
        <f t="shared" si="6"/>
        <v>-0.82760588860236795</v>
      </c>
      <c r="I32" s="6">
        <f t="shared" si="6"/>
        <v>-0.90959637837428653</v>
      </c>
      <c r="J32" s="6"/>
    </row>
    <row r="33" spans="1:10">
      <c r="A33" s="5" t="s">
        <v>21</v>
      </c>
      <c r="B33" s="6">
        <f>(B12-B25)/B26</f>
        <v>-1.4091624227176738</v>
      </c>
      <c r="C33" s="6">
        <f>(C12-C25)/C26</f>
        <v>-1.8225863590257527</v>
      </c>
      <c r="D33" s="6">
        <f t="shared" ref="D33:I33" si="7">(D12-D25)/D26</f>
        <v>-1.682847647759085</v>
      </c>
      <c r="E33" s="6">
        <f t="shared" si="7"/>
        <v>-1.418774987518721</v>
      </c>
      <c r="F33" s="6">
        <f t="shared" si="7"/>
        <v>-1.748362814431716</v>
      </c>
      <c r="G33" s="6">
        <f t="shared" si="7"/>
        <v>-1.5038107692231319</v>
      </c>
      <c r="H33" s="6">
        <f t="shared" si="7"/>
        <v>-1.3241694217637887</v>
      </c>
      <c r="I33" s="6">
        <f t="shared" si="7"/>
        <v>-1.2423755411941475</v>
      </c>
      <c r="J33" s="6"/>
    </row>
    <row r="34" spans="1:10">
      <c r="A34" s="5" t="s">
        <v>22</v>
      </c>
      <c r="B34" s="6">
        <f>(B13-B25)/B26</f>
        <v>-1.1942054429810793</v>
      </c>
      <c r="C34" s="6">
        <f>(C13-C25)/C26</f>
        <v>-1.3471290479755564</v>
      </c>
      <c r="D34" s="6">
        <f t="shared" ref="D34:I34" si="8">(D13-D25)/D26</f>
        <v>-0.59353547742540336</v>
      </c>
      <c r="E34" s="6">
        <f t="shared" si="8"/>
        <v>-1.040434990847062</v>
      </c>
      <c r="F34" s="6">
        <f t="shared" si="8"/>
        <v>-0.56637105256238696</v>
      </c>
      <c r="G34" s="6">
        <f t="shared" si="8"/>
        <v>-1.0359585299092686</v>
      </c>
      <c r="H34" s="6">
        <f t="shared" si="8"/>
        <v>-0.99312706632284153</v>
      </c>
      <c r="I34" s="6">
        <f t="shared" si="8"/>
        <v>-1.0427080435022309</v>
      </c>
      <c r="J34" s="6"/>
    </row>
    <row r="35" spans="1:10">
      <c r="A35" s="5" t="s">
        <v>23</v>
      </c>
      <c r="B35" s="6">
        <f>(B14-B25)/B26</f>
        <v>-1.2658577695599442</v>
      </c>
      <c r="C35" s="6">
        <f>(C14-C25)/C26</f>
        <v>-1.1094003924504583</v>
      </c>
      <c r="D35" s="6">
        <f t="shared" ref="D35:I35" si="9">(D14-D25)/D26</f>
        <v>-1.5990544038872634</v>
      </c>
      <c r="E35" s="6">
        <f t="shared" si="9"/>
        <v>-1.2296049891828915</v>
      </c>
      <c r="F35" s="6">
        <f t="shared" si="9"/>
        <v>-1.6744883293148831</v>
      </c>
      <c r="G35" s="6">
        <f t="shared" si="9"/>
        <v>-1.3033026666600476</v>
      </c>
      <c r="H35" s="6">
        <f t="shared" si="9"/>
        <v>-1.158648244043315</v>
      </c>
      <c r="I35" s="6">
        <f t="shared" si="9"/>
        <v>-1.109263876066203</v>
      </c>
      <c r="J35" s="6"/>
    </row>
    <row r="36" spans="1:10">
      <c r="A36" s="5" t="s">
        <v>24</v>
      </c>
      <c r="B36" s="6">
        <f>(B15-B25)/B26</f>
        <v>0.59710272149053956</v>
      </c>
      <c r="C36" s="6">
        <f>(C15-C25)/C26</f>
        <v>0.79242885175032718</v>
      </c>
      <c r="D36" s="6">
        <f t="shared" ref="D36:I36" si="10">(D15-D25)/D26</f>
        <v>1.08232940001103</v>
      </c>
      <c r="E36" s="6">
        <f t="shared" si="10"/>
        <v>1.418774987518721</v>
      </c>
      <c r="F36" s="6">
        <f t="shared" si="10"/>
        <v>0.98499313489110751</v>
      </c>
      <c r="G36" s="6">
        <f t="shared" si="10"/>
        <v>1.3033026666600476</v>
      </c>
      <c r="H36" s="6">
        <f t="shared" si="10"/>
        <v>1.3241694217637887</v>
      </c>
      <c r="I36" s="6">
        <f t="shared" si="10"/>
        <v>1.4198577613647396</v>
      </c>
      <c r="J36" s="6"/>
    </row>
    <row r="37" spans="1:10">
      <c r="A37" s="5" t="s">
        <v>25</v>
      </c>
      <c r="B37" s="6">
        <f>(B16-B25)/B26</f>
        <v>0.59710272149053956</v>
      </c>
      <c r="C37" s="6">
        <f>(C16-C25)/C26</f>
        <v>7.9242885175032612E-2</v>
      </c>
      <c r="D37" s="6">
        <f t="shared" ref="D37:I37" si="11">(D16-D25)/D26</f>
        <v>0.2443969612928133</v>
      </c>
      <c r="E37" s="6">
        <f t="shared" si="11"/>
        <v>0.28375499750374422</v>
      </c>
      <c r="F37" s="6">
        <f t="shared" si="11"/>
        <v>0.24624828372277682</v>
      </c>
      <c r="G37" s="6">
        <f t="shared" si="11"/>
        <v>0.36759818803232114</v>
      </c>
      <c r="H37" s="6">
        <f t="shared" si="11"/>
        <v>0.49656353316142077</v>
      </c>
      <c r="I37" s="6">
        <f t="shared" si="11"/>
        <v>0.42152027290515698</v>
      </c>
      <c r="J37" s="6"/>
    </row>
    <row r="38" spans="1:10">
      <c r="A38" s="5" t="s">
        <v>26</v>
      </c>
      <c r="B38" s="6">
        <f>(B17-B25)/B26</f>
        <v>-0.47768217719243183</v>
      </c>
      <c r="C38" s="6">
        <f>(C17-C25)/C26</f>
        <v>-0.39621442587516376</v>
      </c>
      <c r="D38" s="6">
        <f t="shared" ref="D38:I38" si="12">(D17-D25)/D26</f>
        <v>-0.38405236774584917</v>
      </c>
      <c r="E38" s="6">
        <f t="shared" si="12"/>
        <v>-0.28375499750374422</v>
      </c>
      <c r="F38" s="6">
        <f t="shared" si="12"/>
        <v>-0.30781035465347123</v>
      </c>
      <c r="G38" s="6">
        <f t="shared" si="12"/>
        <v>-0.30076215384462635</v>
      </c>
      <c r="H38" s="6">
        <f t="shared" si="12"/>
        <v>-0.49656353316142077</v>
      </c>
      <c r="I38" s="6">
        <f t="shared" si="12"/>
        <v>-0.4437055504264813</v>
      </c>
      <c r="J38" s="6"/>
    </row>
    <row r="39" spans="1:10">
      <c r="A39" s="5" t="s">
        <v>27</v>
      </c>
      <c r="B39" s="6">
        <f>(B18-B25)/B26</f>
        <v>0.95536435438486345</v>
      </c>
      <c r="C39" s="6">
        <f>(C18-C25)/C26</f>
        <v>0.79242885175032718</v>
      </c>
      <c r="D39" s="6">
        <f t="shared" ref="D39:I39" si="13">(D18-D25)/D26</f>
        <v>0.66336318065192157</v>
      </c>
      <c r="E39" s="6">
        <f t="shared" si="13"/>
        <v>0.66209499417540318</v>
      </c>
      <c r="F39" s="6">
        <f t="shared" si="13"/>
        <v>0.61562070930694213</v>
      </c>
      <c r="G39" s="6">
        <f t="shared" si="13"/>
        <v>0.63494232478310009</v>
      </c>
      <c r="H39" s="6">
        <f t="shared" si="13"/>
        <v>0.99312706632284153</v>
      </c>
      <c r="I39" s="6">
        <f t="shared" si="13"/>
        <v>0.7542994357250179</v>
      </c>
      <c r="J39" s="6"/>
    </row>
  </sheetData>
  <mergeCells count="9">
    <mergeCell ref="T7:U7"/>
    <mergeCell ref="B29:C29"/>
    <mergeCell ref="D29:E29"/>
    <mergeCell ref="F29:G29"/>
    <mergeCell ref="H29:I29"/>
    <mergeCell ref="B8:C8"/>
    <mergeCell ref="D8:E8"/>
    <mergeCell ref="F8:G8"/>
    <mergeCell ref="H8:I8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DD0D3-18FA-724D-89CC-1332DFB883D0}">
  <dimension ref="A1:L38"/>
  <sheetViews>
    <sheetView topLeftCell="A2" workbookViewId="0">
      <selection activeCell="E16" sqref="E16"/>
    </sheetView>
  </sheetViews>
  <sheetFormatPr baseColWidth="10" defaultRowHeight="16"/>
  <cols>
    <col min="2" max="2" width="10.6640625" customWidth="1"/>
    <col min="3" max="3" width="9.33203125" customWidth="1"/>
    <col min="4" max="4" width="12.83203125" customWidth="1"/>
  </cols>
  <sheetData>
    <row r="1" spans="2:12">
      <c r="B1" t="s">
        <v>291</v>
      </c>
    </row>
    <row r="2" spans="2:12">
      <c r="B2" s="15" t="s">
        <v>292</v>
      </c>
    </row>
    <row r="3" spans="2:12">
      <c r="B3" t="s">
        <v>61</v>
      </c>
    </row>
    <row r="4" spans="2:12">
      <c r="B4" t="s">
        <v>9</v>
      </c>
      <c r="C4" s="9" t="s">
        <v>54</v>
      </c>
      <c r="D4" s="9" t="s">
        <v>53</v>
      </c>
      <c r="E4" t="s">
        <v>290</v>
      </c>
    </row>
    <row r="5" spans="2:12">
      <c r="B5" t="s">
        <v>48</v>
      </c>
      <c r="C5" s="41">
        <v>6350</v>
      </c>
      <c r="D5" s="41">
        <v>4869</v>
      </c>
      <c r="E5" s="6">
        <f>(100/Table1[[#This Row],[Admissions to the roll]])*Table1[[#This Row],[Training contracts registered]]</f>
        <v>76.677165354330711</v>
      </c>
    </row>
    <row r="6" spans="2:12">
      <c r="B6" t="s">
        <v>49</v>
      </c>
      <c r="C6" s="41">
        <v>6758</v>
      </c>
      <c r="D6" s="41">
        <v>5302</v>
      </c>
      <c r="E6" s="6">
        <f>(100/Table1[[#This Row],[Admissions to the roll]])*Table1[[#This Row],[Training contracts registered]]</f>
        <v>78.455164249778036</v>
      </c>
      <c r="L6" s="1"/>
    </row>
    <row r="7" spans="2:12">
      <c r="B7" t="s">
        <v>50</v>
      </c>
      <c r="C7" s="41">
        <v>6345</v>
      </c>
      <c r="D7" s="41">
        <v>5001</v>
      </c>
      <c r="E7" s="6">
        <f>(100/Table1[[#This Row],[Admissions to the roll]])*Table1[[#This Row],[Training contracts registered]]</f>
        <v>78.817966903073284</v>
      </c>
    </row>
    <row r="8" spans="2:12">
      <c r="B8" t="s">
        <v>51</v>
      </c>
      <c r="C8" s="41">
        <v>6077</v>
      </c>
      <c r="D8" s="41">
        <v>5457</v>
      </c>
      <c r="E8" s="6">
        <f>(100/Table1[[#This Row],[Admissions to the roll]])*Table1[[#This Row],[Training contracts registered]]</f>
        <v>89.797597498765839</v>
      </c>
    </row>
    <row r="9" spans="2:12">
      <c r="B9" t="s">
        <v>52</v>
      </c>
      <c r="C9" s="41">
        <v>6346</v>
      </c>
      <c r="D9" s="41">
        <v>5728</v>
      </c>
      <c r="E9" s="6">
        <f>(100/Table1[[#This Row],[Admissions to the roll]])*Table1[[#This Row],[Training contracts registered]]</f>
        <v>90.261582098959977</v>
      </c>
    </row>
    <row r="10" spans="2:12">
      <c r="B10" t="s">
        <v>55</v>
      </c>
      <c r="C10" s="41">
        <v>6478</v>
      </c>
      <c r="D10" s="41">
        <v>5719</v>
      </c>
      <c r="E10" s="6">
        <f>(100/Table1[[#This Row],[Admissions to the roll]])*Table1[[#This Row],[Training contracts registered]]</f>
        <v>88.283420808891634</v>
      </c>
    </row>
    <row r="11" spans="2:12">
      <c r="B11" t="s">
        <v>56</v>
      </c>
      <c r="C11" s="41">
        <v>6745</v>
      </c>
      <c r="D11" s="41">
        <v>5811</v>
      </c>
      <c r="E11" s="6">
        <f>(100/Table1[[#This Row],[Admissions to the roll]])*Table1[[#This Row],[Training contracts registered]]</f>
        <v>86.152705707931801</v>
      </c>
    </row>
    <row r="12" spans="2:12">
      <c r="B12" t="s">
        <v>57</v>
      </c>
      <c r="C12" s="41">
        <v>6972</v>
      </c>
      <c r="D12" s="41">
        <v>6344</v>
      </c>
      <c r="E12" s="6">
        <f>(100/Table1[[#This Row],[Admissions to the roll]])*Table1[[#This Row],[Training contracts registered]]</f>
        <v>90.992541594951234</v>
      </c>
    </row>
    <row r="13" spans="2:12">
      <c r="B13" t="s">
        <v>58</v>
      </c>
      <c r="C13" s="41">
        <v>6722</v>
      </c>
      <c r="D13" s="41">
        <v>5626</v>
      </c>
      <c r="E13" s="6">
        <f>(100/Table1[[#This Row],[Admissions to the roll]])*Table1[[#This Row],[Training contracts registered]]</f>
        <v>83.695328771199044</v>
      </c>
    </row>
    <row r="14" spans="2:12">
      <c r="B14" t="s">
        <v>59</v>
      </c>
      <c r="C14" s="41">
        <v>6981</v>
      </c>
      <c r="D14" s="41">
        <v>5495</v>
      </c>
      <c r="E14" s="6">
        <f>(100/Table1[[#This Row],[Admissions to the roll]])*Table1[[#This Row],[Training contracts registered]]</f>
        <v>78.713651339349667</v>
      </c>
    </row>
    <row r="15" spans="2:12">
      <c r="B15" t="s">
        <v>60</v>
      </c>
      <c r="C15" s="41">
        <v>7160</v>
      </c>
      <c r="D15" s="41">
        <v>4952</v>
      </c>
      <c r="E15" s="6">
        <f>(100/Table1[[#This Row],[Admissions to the roll]])*Table1[[#This Row],[Training contracts registered]]</f>
        <v>69.162011173184354</v>
      </c>
    </row>
    <row r="16" spans="2:12">
      <c r="B16" s="40" t="s">
        <v>34</v>
      </c>
      <c r="C16" s="42">
        <f>MEDIAN(Table1[Admissions to the roll])</f>
        <v>6722</v>
      </c>
      <c r="D16" s="42">
        <f>MEDIAN(Table1[Training contracts registered])</f>
        <v>5495</v>
      </c>
      <c r="E16" s="43">
        <f>MEDIAN(Table1[% with Training Contract])</f>
        <v>83.695328771199044</v>
      </c>
    </row>
    <row r="18" spans="1:4">
      <c r="B18" t="s">
        <v>36</v>
      </c>
      <c r="C18">
        <f>QUARTILE(Table1[Admissions to the roll],1)</f>
        <v>6348</v>
      </c>
      <c r="D18">
        <f>QUARTILE(Table1[Training contracts registered],1)</f>
        <v>5151.5</v>
      </c>
    </row>
    <row r="19" spans="1:4">
      <c r="B19" t="s">
        <v>37</v>
      </c>
      <c r="C19">
        <f>QUARTILE(Table1[Admissions to the roll],3)</f>
        <v>6865</v>
      </c>
      <c r="D19">
        <f>QUARTILE(Table1[Training contracts registered],3)</f>
        <v>5723.5</v>
      </c>
    </row>
    <row r="20" spans="1:4">
      <c r="B20" t="s">
        <v>62</v>
      </c>
      <c r="C20">
        <f>C19-C18</f>
        <v>517</v>
      </c>
      <c r="D20">
        <f>D19-D18</f>
        <v>572</v>
      </c>
    </row>
    <row r="22" spans="1:4">
      <c r="B22" t="s">
        <v>35</v>
      </c>
      <c r="C22">
        <f>AVERAGE(Table1[Admissions to the roll])</f>
        <v>6630.363636363636</v>
      </c>
      <c r="D22">
        <f>(AVERAGE(Table1[Training contracts registered]))</f>
        <v>5482.181818181818</v>
      </c>
    </row>
    <row r="23" spans="1:4">
      <c r="B23" t="s">
        <v>46</v>
      </c>
      <c r="C23">
        <f>STDEV(Table1[Admissions to the roll])</f>
        <v>335.90631810886578</v>
      </c>
      <c r="D23">
        <f>STDEV(Table1[Training contracts registered])</f>
        <v>437.0274174881522</v>
      </c>
    </row>
    <row r="27" spans="1:4">
      <c r="A27" t="s">
        <v>47</v>
      </c>
      <c r="B27" t="s">
        <v>9</v>
      </c>
      <c r="C27" t="s">
        <v>54</v>
      </c>
      <c r="D27" t="s">
        <v>53</v>
      </c>
    </row>
    <row r="28" spans="1:4">
      <c r="B28" t="s">
        <v>48</v>
      </c>
      <c r="C28" s="6">
        <f>(C5-C22)/C23</f>
        <v>-0.83464829700753473</v>
      </c>
      <c r="D28" s="6">
        <f>(D5-D22)/D23</f>
        <v>-1.4030740261243251</v>
      </c>
    </row>
    <row r="29" spans="1:4">
      <c r="B29" t="s">
        <v>49</v>
      </c>
      <c r="C29" s="6">
        <f>(C6-C22)/C23</f>
        <v>0.37997607295673902</v>
      </c>
      <c r="D29" s="6">
        <f>(D6-D22)/D23</f>
        <v>-0.41228950626811128</v>
      </c>
    </row>
    <row r="30" spans="1:4">
      <c r="B30" t="s">
        <v>50</v>
      </c>
      <c r="C30" s="6">
        <f>(C7-C22)/C23</f>
        <v>-0.84953339958062624</v>
      </c>
      <c r="D30" s="6">
        <f>(D7-D22)/D23</f>
        <v>-1.1010334796554562</v>
      </c>
    </row>
    <row r="31" spans="1:4">
      <c r="B31" t="s">
        <v>51</v>
      </c>
      <c r="C31" s="6">
        <f>(C8-C22)/C23</f>
        <v>-1.6473748974983355</v>
      </c>
      <c r="D31" s="6">
        <f>(D8-D22)/D23</f>
        <v>-5.7620682763000093E-2</v>
      </c>
    </row>
    <row r="32" spans="1:4">
      <c r="B32" t="s">
        <v>52</v>
      </c>
      <c r="C32" s="6">
        <f>(C9-C22)/C23</f>
        <v>-0.846556379066008</v>
      </c>
      <c r="D32" s="6">
        <f>(D9-D22)/D23</f>
        <v>0.56247771188142015</v>
      </c>
    </row>
    <row r="33" spans="2:4">
      <c r="B33" t="s">
        <v>55</v>
      </c>
      <c r="C33" s="6">
        <f>(C10-C22)/C23</f>
        <v>-0.45358967113638998</v>
      </c>
      <c r="D33" s="6">
        <f>(D10-D22)/D23</f>
        <v>0.5418840382585427</v>
      </c>
    </row>
    <row r="34" spans="2:4">
      <c r="B34" t="s">
        <v>56</v>
      </c>
      <c r="C34" s="6">
        <f>(C11-C22)/C23</f>
        <v>0.34127480626670087</v>
      </c>
      <c r="D34" s="6">
        <f>(D11-D22)/D23</f>
        <v>0.75239714640351196</v>
      </c>
    </row>
    <row r="35" spans="2:4">
      <c r="B35" t="s">
        <v>57</v>
      </c>
      <c r="C35" s="6">
        <f>(C12-C22)/C23</f>
        <v>1.017058463085059</v>
      </c>
      <c r="D35" s="6">
        <f>(D12-D22)/D23</f>
        <v>1.972000262069475</v>
      </c>
    </row>
    <row r="36" spans="2:4">
      <c r="B36" t="s">
        <v>58</v>
      </c>
      <c r="C36" s="6">
        <f>(C13-C22)/C23</f>
        <v>0.27280333443047955</v>
      </c>
      <c r="D36" s="6">
        <f>(D13-D22)/D23</f>
        <v>0.329082744155476</v>
      </c>
    </row>
    <row r="37" spans="2:4">
      <c r="B37" t="s">
        <v>59</v>
      </c>
      <c r="C37" s="6">
        <f>(C14-C22)/C23</f>
        <v>1.043851647716624</v>
      </c>
      <c r="D37" s="6">
        <f>(D14-D22)/D23</f>
        <v>2.933038364470459E-2</v>
      </c>
    </row>
    <row r="38" spans="2:4">
      <c r="B38" t="s">
        <v>60</v>
      </c>
      <c r="C38" s="6">
        <f>(C15-C22)/C23</f>
        <v>1.5767383198333029</v>
      </c>
      <c r="D38" s="6">
        <f>(D15-D22)/D23</f>
        <v>-1.2131545916022333</v>
      </c>
    </row>
  </sheetData>
  <phoneticPr fontId="3" type="noConversion"/>
  <hyperlinks>
    <hyperlink ref="B2" r:id="rId1" xr:uid="{B303761C-B913-0349-A566-F4BB2EB46F9C}"/>
  </hyperlinks>
  <pageMargins left="0.7" right="0.7" top="0.75" bottom="0.75" header="0.3" footer="0.3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97373-7ECB-0B4D-804A-419861908FD5}">
  <dimension ref="A1:K98"/>
  <sheetViews>
    <sheetView topLeftCell="A61" workbookViewId="0">
      <selection activeCell="G92" sqref="G92"/>
    </sheetView>
  </sheetViews>
  <sheetFormatPr baseColWidth="10" defaultRowHeight="16"/>
  <cols>
    <col min="2" max="2" width="24.33203125" customWidth="1"/>
    <col min="3" max="3" width="15.6640625" customWidth="1"/>
    <col min="4" max="4" width="16" customWidth="1"/>
    <col min="5" max="5" width="11.83203125" customWidth="1"/>
    <col min="6" max="6" width="11.33203125" bestFit="1" customWidth="1"/>
    <col min="7" max="7" width="23.83203125" customWidth="1"/>
    <col min="8" max="8" width="14.83203125" customWidth="1"/>
    <col min="9" max="9" width="13.5" customWidth="1"/>
  </cols>
  <sheetData>
    <row r="1" spans="1:11">
      <c r="A1" s="17" t="s">
        <v>275</v>
      </c>
      <c r="B1" s="17"/>
      <c r="C1" s="17"/>
      <c r="D1" s="17"/>
      <c r="E1" s="17"/>
    </row>
    <row r="2" spans="1:11">
      <c r="A2" s="17"/>
      <c r="B2" s="17" t="s">
        <v>275</v>
      </c>
      <c r="C2" s="17"/>
      <c r="D2" s="17"/>
      <c r="E2" s="17"/>
      <c r="K2" s="20"/>
    </row>
    <row r="3" spans="1:11">
      <c r="A3" s="17"/>
      <c r="B3" s="21" t="s">
        <v>99</v>
      </c>
      <c r="C3" s="21" t="s">
        <v>100</v>
      </c>
      <c r="D3" s="21" t="s">
        <v>101</v>
      </c>
      <c r="E3" s="21" t="s">
        <v>102</v>
      </c>
      <c r="F3" s="21" t="s">
        <v>310</v>
      </c>
      <c r="G3" s="24" t="s">
        <v>280</v>
      </c>
      <c r="H3" s="24" t="s">
        <v>100</v>
      </c>
      <c r="I3" s="24" t="s">
        <v>101</v>
      </c>
      <c r="J3" s="24" t="s">
        <v>102</v>
      </c>
      <c r="K3" s="20"/>
    </row>
    <row r="4" spans="1:11">
      <c r="A4" s="17"/>
      <c r="B4" s="18" t="s">
        <v>103</v>
      </c>
      <c r="C4" s="20">
        <v>52000</v>
      </c>
      <c r="D4" s="20">
        <v>56000</v>
      </c>
      <c r="E4" s="20"/>
      <c r="F4" s="16"/>
      <c r="G4" t="s">
        <v>80</v>
      </c>
      <c r="H4" s="20"/>
      <c r="I4" s="20"/>
      <c r="J4" s="20"/>
      <c r="K4" s="20"/>
    </row>
    <row r="5" spans="1:11">
      <c r="A5" s="17"/>
      <c r="B5" s="18" t="s">
        <v>104</v>
      </c>
      <c r="C5" s="20" t="s">
        <v>105</v>
      </c>
      <c r="D5" s="20" t="s">
        <v>106</v>
      </c>
      <c r="E5" s="20" t="s">
        <v>276</v>
      </c>
      <c r="F5" s="16"/>
      <c r="G5" t="s">
        <v>81</v>
      </c>
      <c r="H5" s="20"/>
      <c r="I5" s="20"/>
      <c r="J5" s="20"/>
      <c r="K5" s="20"/>
    </row>
    <row r="6" spans="1:11">
      <c r="A6" s="17"/>
      <c r="B6" s="18" t="s">
        <v>107</v>
      </c>
      <c r="C6" s="20" t="s">
        <v>108</v>
      </c>
      <c r="D6" s="20" t="s">
        <v>109</v>
      </c>
      <c r="E6" s="20" t="s">
        <v>110</v>
      </c>
      <c r="F6" s="16"/>
      <c r="G6" t="s">
        <v>82</v>
      </c>
      <c r="H6" s="20"/>
      <c r="I6" s="20"/>
      <c r="J6" s="20"/>
      <c r="K6" s="20"/>
    </row>
    <row r="7" spans="1:11">
      <c r="A7" s="17"/>
      <c r="B7" s="18" t="s">
        <v>111</v>
      </c>
      <c r="C7" s="20">
        <v>35000</v>
      </c>
      <c r="D7" s="20">
        <v>37000</v>
      </c>
      <c r="E7" s="20">
        <v>61000</v>
      </c>
      <c r="F7" s="16"/>
      <c r="G7" t="s">
        <v>83</v>
      </c>
      <c r="H7" s="20"/>
      <c r="I7" s="20"/>
      <c r="J7" s="20"/>
      <c r="K7" s="20"/>
    </row>
    <row r="8" spans="1:11">
      <c r="A8" s="17"/>
      <c r="B8" s="18" t="s">
        <v>112</v>
      </c>
      <c r="C8" s="20" t="s">
        <v>113</v>
      </c>
      <c r="D8" s="20" t="s">
        <v>114</v>
      </c>
      <c r="E8" s="20" t="s">
        <v>115</v>
      </c>
      <c r="F8" s="16"/>
      <c r="G8" s="31" t="s">
        <v>84</v>
      </c>
      <c r="H8" s="29" t="s">
        <v>198</v>
      </c>
      <c r="I8" s="29" t="s">
        <v>118</v>
      </c>
      <c r="J8" s="29" t="s">
        <v>237</v>
      </c>
      <c r="K8" s="20"/>
    </row>
    <row r="9" spans="1:11">
      <c r="A9" s="17"/>
      <c r="B9" s="18" t="s">
        <v>116</v>
      </c>
      <c r="C9" s="20" t="s">
        <v>117</v>
      </c>
      <c r="D9" s="20" t="s">
        <v>118</v>
      </c>
      <c r="E9" s="20" t="s">
        <v>119</v>
      </c>
      <c r="F9" s="16"/>
      <c r="G9" s="20"/>
      <c r="H9" s="20"/>
      <c r="I9" s="4"/>
      <c r="J9" s="4"/>
      <c r="K9" s="20"/>
    </row>
    <row r="10" spans="1:11">
      <c r="A10" s="17"/>
      <c r="B10" s="18" t="s">
        <v>120</v>
      </c>
      <c r="C10" s="20" t="s">
        <v>121</v>
      </c>
      <c r="D10" s="20" t="s">
        <v>122</v>
      </c>
      <c r="E10" s="20" t="s">
        <v>123</v>
      </c>
      <c r="F10" s="16"/>
      <c r="G10" s="25" t="s">
        <v>34</v>
      </c>
      <c r="H10" s="26"/>
      <c r="I10" s="27"/>
      <c r="J10" s="27"/>
      <c r="K10" s="20"/>
    </row>
    <row r="11" spans="1:11">
      <c r="A11" s="17"/>
      <c r="B11" s="18" t="s">
        <v>124</v>
      </c>
      <c r="C11" s="20" t="s">
        <v>125</v>
      </c>
      <c r="D11" s="20" t="s">
        <v>113</v>
      </c>
      <c r="E11" s="20" t="s">
        <v>126</v>
      </c>
      <c r="F11" s="16"/>
      <c r="G11" s="28" t="s">
        <v>35</v>
      </c>
      <c r="H11" s="29"/>
      <c r="I11" s="30"/>
      <c r="J11" s="30"/>
      <c r="K11" s="20"/>
    </row>
    <row r="12" spans="1:11">
      <c r="A12" s="17"/>
      <c r="B12" s="18" t="s">
        <v>127</v>
      </c>
      <c r="C12" s="20">
        <v>50000</v>
      </c>
      <c r="D12" s="20">
        <v>55000</v>
      </c>
      <c r="E12" s="20">
        <v>105000</v>
      </c>
      <c r="F12" s="16"/>
      <c r="H12" s="20"/>
      <c r="K12" s="20"/>
    </row>
    <row r="13" spans="1:11">
      <c r="A13" s="17"/>
      <c r="B13" s="18" t="s">
        <v>128</v>
      </c>
      <c r="C13" s="20">
        <v>47000</v>
      </c>
      <c r="D13" s="20">
        <v>49000</v>
      </c>
      <c r="E13" s="20">
        <v>72000</v>
      </c>
      <c r="F13" s="16"/>
      <c r="H13" s="20"/>
      <c r="K13" s="20"/>
    </row>
    <row r="14" spans="1:11">
      <c r="A14" s="17"/>
      <c r="B14" s="18" t="s">
        <v>129</v>
      </c>
      <c r="C14" s="20">
        <v>50000</v>
      </c>
      <c r="D14" s="20">
        <v>53000</v>
      </c>
      <c r="E14" s="20">
        <v>88000</v>
      </c>
      <c r="F14" s="16"/>
      <c r="H14" s="20"/>
      <c r="K14" s="20"/>
    </row>
    <row r="15" spans="1:11">
      <c r="A15" s="17"/>
      <c r="B15" s="18" t="s">
        <v>130</v>
      </c>
      <c r="C15" s="20" t="s">
        <v>131</v>
      </c>
      <c r="D15" s="20" t="s">
        <v>132</v>
      </c>
      <c r="E15" s="20" t="s">
        <v>133</v>
      </c>
      <c r="F15" s="16"/>
      <c r="G15" s="24" t="s">
        <v>278</v>
      </c>
      <c r="H15" s="24" t="s">
        <v>100</v>
      </c>
      <c r="I15" s="24" t="s">
        <v>101</v>
      </c>
      <c r="J15" s="24" t="s">
        <v>102</v>
      </c>
      <c r="K15" s="20"/>
    </row>
    <row r="16" spans="1:11">
      <c r="A16" s="17"/>
      <c r="B16" s="18" t="s">
        <v>134</v>
      </c>
      <c r="C16" s="20">
        <v>50000</v>
      </c>
      <c r="D16" s="20">
        <v>55000</v>
      </c>
      <c r="E16" s="20">
        <v>105000</v>
      </c>
      <c r="F16" s="16"/>
      <c r="G16" s="18" t="s">
        <v>112</v>
      </c>
      <c r="H16" s="20" t="s">
        <v>113</v>
      </c>
      <c r="I16" s="20" t="s">
        <v>114</v>
      </c>
      <c r="J16" s="20" t="s">
        <v>115</v>
      </c>
      <c r="K16" s="20"/>
    </row>
    <row r="17" spans="1:11">
      <c r="A17" s="17"/>
      <c r="B17" s="18" t="s">
        <v>135</v>
      </c>
      <c r="C17" s="20" t="s">
        <v>136</v>
      </c>
      <c r="D17" s="20" t="s">
        <v>137</v>
      </c>
      <c r="E17" s="20" t="s">
        <v>138</v>
      </c>
      <c r="F17" s="16"/>
      <c r="G17" s="18" t="s">
        <v>127</v>
      </c>
      <c r="H17" s="20">
        <v>50000</v>
      </c>
      <c r="I17" s="20">
        <v>55000</v>
      </c>
      <c r="J17" s="20">
        <v>105000</v>
      </c>
      <c r="K17" s="20"/>
    </row>
    <row r="18" spans="1:11">
      <c r="A18" s="17"/>
      <c r="B18" s="18" t="s">
        <v>139</v>
      </c>
      <c r="C18" s="20" t="s">
        <v>117</v>
      </c>
      <c r="D18" s="20" t="s">
        <v>105</v>
      </c>
      <c r="E18" s="20" t="s">
        <v>140</v>
      </c>
      <c r="F18" s="16"/>
      <c r="G18" s="18" t="s">
        <v>197</v>
      </c>
      <c r="H18" s="20" t="s">
        <v>198</v>
      </c>
      <c r="I18" s="20" t="s">
        <v>118</v>
      </c>
      <c r="J18" s="20" t="s">
        <v>119</v>
      </c>
      <c r="K18" s="20"/>
    </row>
    <row r="19" spans="1:11">
      <c r="A19" s="17"/>
      <c r="B19" s="18" t="s">
        <v>141</v>
      </c>
      <c r="C19" s="20"/>
      <c r="D19" s="20"/>
      <c r="E19" s="20">
        <v>70000</v>
      </c>
      <c r="F19" s="16"/>
      <c r="G19" s="28" t="s">
        <v>247</v>
      </c>
      <c r="H19" s="29" t="s">
        <v>151</v>
      </c>
      <c r="I19" s="29" t="s">
        <v>248</v>
      </c>
      <c r="J19" s="29" t="s">
        <v>220</v>
      </c>
      <c r="K19" s="20"/>
    </row>
    <row r="20" spans="1:11">
      <c r="A20" s="17"/>
      <c r="B20" s="18" t="s">
        <v>142</v>
      </c>
      <c r="C20" s="20" t="s">
        <v>122</v>
      </c>
      <c r="D20" s="20" t="s">
        <v>143</v>
      </c>
      <c r="E20" s="20"/>
      <c r="F20" s="16"/>
      <c r="G20" s="18" t="s">
        <v>279</v>
      </c>
      <c r="H20" s="20"/>
      <c r="I20" s="20"/>
      <c r="J20" s="20"/>
      <c r="K20" s="20"/>
    </row>
    <row r="21" spans="1:11">
      <c r="A21" s="17"/>
      <c r="B21" s="18" t="s">
        <v>144</v>
      </c>
      <c r="C21" s="20" t="s">
        <v>106</v>
      </c>
      <c r="D21" s="20" t="s">
        <v>145</v>
      </c>
      <c r="E21" s="20" t="s">
        <v>146</v>
      </c>
      <c r="F21" s="16"/>
      <c r="G21" s="20"/>
      <c r="H21" s="20"/>
      <c r="I21" s="4"/>
      <c r="J21" s="4"/>
      <c r="K21" s="20"/>
    </row>
    <row r="22" spans="1:11">
      <c r="A22" s="17"/>
      <c r="B22" s="18" t="s">
        <v>147</v>
      </c>
      <c r="C22" s="20" t="s">
        <v>117</v>
      </c>
      <c r="D22" s="20" t="s">
        <v>105</v>
      </c>
      <c r="E22" s="20" t="s">
        <v>148</v>
      </c>
      <c r="F22" s="16"/>
      <c r="G22" s="25" t="s">
        <v>34</v>
      </c>
      <c r="H22" s="26">
        <f>MEDIAN(H17:H20)</f>
        <v>50000</v>
      </c>
      <c r="I22" s="27">
        <f>MEDIAN(I17:I20)</f>
        <v>55000</v>
      </c>
      <c r="J22" s="27">
        <f>MEDIAN(J17:J20)</f>
        <v>105000</v>
      </c>
      <c r="K22" s="20"/>
    </row>
    <row r="23" spans="1:11">
      <c r="A23" s="17"/>
      <c r="B23" s="18" t="s">
        <v>149</v>
      </c>
      <c r="C23" s="20" t="s">
        <v>117</v>
      </c>
      <c r="D23" s="20" t="s">
        <v>118</v>
      </c>
      <c r="E23" s="20" t="s">
        <v>140</v>
      </c>
      <c r="F23" s="16"/>
      <c r="G23" s="28" t="s">
        <v>35</v>
      </c>
      <c r="H23" s="29">
        <f>AVERAGE(H16:H19)</f>
        <v>50000</v>
      </c>
      <c r="I23" s="30">
        <f>AVERAGE(I16:I19)</f>
        <v>55000</v>
      </c>
      <c r="J23" s="30">
        <f>AVERAGE(J16:J19)</f>
        <v>105000</v>
      </c>
      <c r="K23" s="20"/>
    </row>
    <row r="24" spans="1:11">
      <c r="A24" s="17"/>
      <c r="B24" s="18" t="s">
        <v>150</v>
      </c>
      <c r="C24" s="20" t="s">
        <v>143</v>
      </c>
      <c r="D24" s="20" t="s">
        <v>151</v>
      </c>
      <c r="E24" s="20" t="s">
        <v>152</v>
      </c>
      <c r="F24" s="16"/>
      <c r="H24" s="20"/>
      <c r="K24" s="20"/>
    </row>
    <row r="25" spans="1:11">
      <c r="A25" s="17"/>
      <c r="B25" s="18" t="s">
        <v>153</v>
      </c>
      <c r="C25" s="20">
        <v>50000</v>
      </c>
      <c r="D25" s="20">
        <v>55000</v>
      </c>
      <c r="E25" s="20">
        <v>110000</v>
      </c>
      <c r="F25" s="16"/>
      <c r="H25" s="20"/>
      <c r="K25" s="20"/>
    </row>
    <row r="26" spans="1:11">
      <c r="A26" s="17"/>
      <c r="B26" s="18" t="s">
        <v>154</v>
      </c>
      <c r="C26" s="20" t="s">
        <v>122</v>
      </c>
      <c r="D26" s="20" t="s">
        <v>143</v>
      </c>
      <c r="E26" s="20" t="s">
        <v>155</v>
      </c>
      <c r="F26" s="16"/>
      <c r="H26" s="20"/>
      <c r="K26" s="20"/>
    </row>
    <row r="27" spans="1:11">
      <c r="A27" s="17"/>
      <c r="B27" s="18" t="s">
        <v>156</v>
      </c>
      <c r="C27" s="20" t="s">
        <v>122</v>
      </c>
      <c r="D27" s="20" t="s">
        <v>157</v>
      </c>
      <c r="E27" s="20" t="s">
        <v>158</v>
      </c>
      <c r="F27" s="16"/>
      <c r="H27" s="20"/>
      <c r="K27" s="20"/>
    </row>
    <row r="28" spans="1:11">
      <c r="A28" s="17"/>
      <c r="B28" s="18" t="s">
        <v>159</v>
      </c>
      <c r="C28" s="20" t="s">
        <v>122</v>
      </c>
      <c r="D28" s="20" t="s">
        <v>160</v>
      </c>
      <c r="E28" s="20" t="s">
        <v>161</v>
      </c>
      <c r="F28" s="16"/>
      <c r="H28" s="20"/>
      <c r="K28" s="20"/>
    </row>
    <row r="29" spans="1:11">
      <c r="A29" s="17"/>
      <c r="B29" s="18" t="s">
        <v>162</v>
      </c>
      <c r="C29" s="20" t="s">
        <v>163</v>
      </c>
      <c r="D29" s="20" t="s">
        <v>136</v>
      </c>
      <c r="E29" s="20" t="s">
        <v>105</v>
      </c>
      <c r="F29" s="16"/>
      <c r="H29" s="20"/>
      <c r="K29" s="20"/>
    </row>
    <row r="30" spans="1:11">
      <c r="A30" s="17"/>
      <c r="B30" s="18" t="s">
        <v>164</v>
      </c>
      <c r="C30" s="20" t="s">
        <v>165</v>
      </c>
      <c r="D30" s="20" t="s">
        <v>166</v>
      </c>
      <c r="E30" s="20" t="s">
        <v>167</v>
      </c>
      <c r="F30" s="16"/>
      <c r="H30" s="20"/>
      <c r="K30" s="20"/>
    </row>
    <row r="31" spans="1:11">
      <c r="A31" s="17"/>
      <c r="B31" s="18" t="s">
        <v>168</v>
      </c>
      <c r="C31" s="20" t="s">
        <v>160</v>
      </c>
      <c r="D31" s="20" t="s">
        <v>125</v>
      </c>
      <c r="E31" s="20" t="s">
        <v>169</v>
      </c>
      <c r="F31" s="16"/>
      <c r="H31" s="20"/>
      <c r="K31" s="20"/>
    </row>
    <row r="32" spans="1:11">
      <c r="A32" s="17"/>
      <c r="B32" s="18" t="s">
        <v>170</v>
      </c>
      <c r="C32" s="20" t="s">
        <v>117</v>
      </c>
      <c r="D32" s="20" t="s">
        <v>105</v>
      </c>
      <c r="E32" s="20" t="s">
        <v>171</v>
      </c>
      <c r="F32" s="16"/>
      <c r="H32" s="20"/>
      <c r="K32" s="20"/>
    </row>
    <row r="33" spans="1:11">
      <c r="A33" s="17"/>
      <c r="B33" s="18" t="s">
        <v>172</v>
      </c>
      <c r="C33" s="20">
        <v>39000</v>
      </c>
      <c r="D33" s="20">
        <v>41000</v>
      </c>
      <c r="E33" s="20">
        <v>79000</v>
      </c>
      <c r="F33" s="16"/>
      <c r="H33" s="20"/>
      <c r="K33" s="20"/>
    </row>
    <row r="34" spans="1:11">
      <c r="A34" s="17"/>
      <c r="B34" s="18" t="s">
        <v>173</v>
      </c>
      <c r="C34" s="20" t="s">
        <v>105</v>
      </c>
      <c r="D34" s="20" t="s">
        <v>106</v>
      </c>
      <c r="E34" s="20" t="s">
        <v>146</v>
      </c>
      <c r="F34" s="16"/>
      <c r="H34" s="20"/>
      <c r="K34" s="20"/>
    </row>
    <row r="35" spans="1:11">
      <c r="A35" s="17"/>
      <c r="B35" s="18" t="s">
        <v>174</v>
      </c>
      <c r="C35" s="20" t="s">
        <v>117</v>
      </c>
      <c r="D35" s="20" t="s">
        <v>105</v>
      </c>
      <c r="E35" s="20" t="s">
        <v>175</v>
      </c>
      <c r="F35" s="16"/>
      <c r="H35" s="20"/>
      <c r="K35" s="20"/>
    </row>
    <row r="36" spans="1:11">
      <c r="A36" s="17"/>
      <c r="B36" s="18" t="s">
        <v>176</v>
      </c>
      <c r="C36" s="20" t="s">
        <v>157</v>
      </c>
      <c r="D36" s="20" t="s">
        <v>143</v>
      </c>
      <c r="E36" s="20" t="s">
        <v>177</v>
      </c>
      <c r="F36" s="16"/>
      <c r="H36" s="20"/>
      <c r="K36" s="20"/>
    </row>
    <row r="37" spans="1:11">
      <c r="A37" s="17"/>
      <c r="B37" s="18" t="s">
        <v>178</v>
      </c>
      <c r="C37" s="20" t="s">
        <v>160</v>
      </c>
      <c r="D37" s="20" t="s">
        <v>143</v>
      </c>
      <c r="E37" s="20"/>
      <c r="F37" s="16"/>
      <c r="H37" s="20"/>
      <c r="K37" s="20"/>
    </row>
    <row r="38" spans="1:11">
      <c r="A38" s="17"/>
      <c r="B38" s="18" t="s">
        <v>179</v>
      </c>
      <c r="C38" s="20" t="s">
        <v>143</v>
      </c>
      <c r="D38" s="20">
        <v>54000</v>
      </c>
      <c r="E38" s="20" t="s">
        <v>152</v>
      </c>
      <c r="F38" s="16"/>
      <c r="H38" s="20"/>
      <c r="K38" s="20"/>
    </row>
    <row r="39" spans="1:11">
      <c r="A39" s="17"/>
      <c r="B39" s="18" t="s">
        <v>180</v>
      </c>
      <c r="C39" s="20">
        <v>43000</v>
      </c>
      <c r="D39" s="20">
        <v>45000</v>
      </c>
      <c r="E39" s="20"/>
      <c r="F39" s="16"/>
      <c r="H39" s="20"/>
      <c r="K39" s="20"/>
    </row>
    <row r="40" spans="1:11">
      <c r="A40" s="17"/>
      <c r="B40" s="18" t="s">
        <v>181</v>
      </c>
      <c r="C40" s="20">
        <v>56000</v>
      </c>
      <c r="D40" s="20">
        <v>61000</v>
      </c>
      <c r="E40" s="20">
        <v>135000</v>
      </c>
      <c r="F40" s="16"/>
      <c r="H40" s="20"/>
      <c r="K40" s="20"/>
    </row>
    <row r="41" spans="1:11">
      <c r="A41" s="17"/>
      <c r="B41" s="18" t="s">
        <v>182</v>
      </c>
      <c r="C41" s="20" t="s">
        <v>183</v>
      </c>
      <c r="D41" s="20" t="s">
        <v>184</v>
      </c>
      <c r="E41" s="20"/>
      <c r="F41" s="16"/>
      <c r="H41" s="20"/>
      <c r="K41" s="20"/>
    </row>
    <row r="42" spans="1:11">
      <c r="A42" s="17"/>
      <c r="B42" s="18" t="s">
        <v>185</v>
      </c>
      <c r="C42" s="20">
        <v>43000</v>
      </c>
      <c r="D42" s="20">
        <v>45000</v>
      </c>
      <c r="E42" s="20"/>
      <c r="F42" s="16"/>
      <c r="H42" s="20"/>
      <c r="K42" s="20"/>
    </row>
    <row r="43" spans="1:11">
      <c r="A43" s="17"/>
      <c r="B43" s="18" t="s">
        <v>186</v>
      </c>
      <c r="C43" s="20" t="s">
        <v>143</v>
      </c>
      <c r="D43" s="20" t="s">
        <v>117</v>
      </c>
      <c r="E43" s="20" t="s">
        <v>187</v>
      </c>
      <c r="F43" s="16"/>
      <c r="H43" s="20"/>
      <c r="K43" s="20"/>
    </row>
    <row r="44" spans="1:11">
      <c r="A44" s="17"/>
      <c r="B44" s="18" t="s">
        <v>188</v>
      </c>
      <c r="C44" s="20" t="s">
        <v>189</v>
      </c>
      <c r="D44" s="20" t="s">
        <v>160</v>
      </c>
      <c r="E44" s="20"/>
      <c r="F44" s="16"/>
      <c r="H44" s="20"/>
      <c r="K44" s="20"/>
    </row>
    <row r="45" spans="1:11">
      <c r="A45" s="17"/>
      <c r="B45" s="18" t="s">
        <v>190</v>
      </c>
      <c r="C45" s="20" t="s">
        <v>191</v>
      </c>
      <c r="D45" s="20" t="s">
        <v>189</v>
      </c>
      <c r="E45" s="20"/>
      <c r="F45" s="16"/>
      <c r="H45" s="20"/>
      <c r="K45" s="20"/>
    </row>
    <row r="46" spans="1:11">
      <c r="A46" s="17"/>
      <c r="B46" s="18" t="s">
        <v>192</v>
      </c>
      <c r="C46" s="20" t="s">
        <v>105</v>
      </c>
      <c r="D46" s="20" t="s">
        <v>106</v>
      </c>
      <c r="E46" s="20" t="s">
        <v>276</v>
      </c>
      <c r="F46" s="16"/>
      <c r="H46" s="20"/>
      <c r="K46" s="20"/>
    </row>
    <row r="47" spans="1:11">
      <c r="A47" s="17"/>
      <c r="B47" s="18" t="s">
        <v>193</v>
      </c>
      <c r="C47" s="20" t="s">
        <v>105</v>
      </c>
      <c r="D47" s="20" t="s">
        <v>106</v>
      </c>
      <c r="E47" s="20" t="s">
        <v>277</v>
      </c>
      <c r="F47" s="16"/>
      <c r="H47" s="20"/>
      <c r="K47" s="20"/>
    </row>
    <row r="48" spans="1:11">
      <c r="A48" s="17"/>
      <c r="B48" s="18" t="s">
        <v>194</v>
      </c>
      <c r="C48" s="20" t="s">
        <v>195</v>
      </c>
      <c r="D48" s="20" t="s">
        <v>196</v>
      </c>
      <c r="E48" s="20" t="s">
        <v>167</v>
      </c>
      <c r="F48" s="16"/>
      <c r="H48" s="20"/>
      <c r="K48" s="20"/>
    </row>
    <row r="49" spans="1:11">
      <c r="A49" s="17"/>
      <c r="B49" s="18" t="s">
        <v>197</v>
      </c>
      <c r="C49" s="20" t="s">
        <v>198</v>
      </c>
      <c r="D49" s="20" t="s">
        <v>118</v>
      </c>
      <c r="E49" s="20" t="s">
        <v>119</v>
      </c>
      <c r="F49" s="16"/>
      <c r="H49" s="20"/>
      <c r="K49" s="20"/>
    </row>
    <row r="50" spans="1:11">
      <c r="A50" s="17"/>
      <c r="B50" s="18" t="s">
        <v>199</v>
      </c>
      <c r="C50" s="20" t="s">
        <v>200</v>
      </c>
      <c r="D50" s="20" t="s">
        <v>201</v>
      </c>
      <c r="E50" s="20" t="s">
        <v>202</v>
      </c>
      <c r="F50" s="16"/>
      <c r="H50" s="20"/>
      <c r="K50" s="20"/>
    </row>
    <row r="51" spans="1:11">
      <c r="A51" s="17"/>
      <c r="B51" s="18" t="s">
        <v>203</v>
      </c>
      <c r="C51" s="20" t="s">
        <v>191</v>
      </c>
      <c r="D51" s="20" t="s">
        <v>137</v>
      </c>
      <c r="E51" s="20"/>
      <c r="F51" s="16"/>
      <c r="H51" s="20"/>
      <c r="K51" s="20"/>
    </row>
    <row r="52" spans="1:11">
      <c r="A52" s="17"/>
      <c r="B52" s="18" t="s">
        <v>204</v>
      </c>
      <c r="C52" s="20" t="s">
        <v>117</v>
      </c>
      <c r="D52" s="20" t="s">
        <v>105</v>
      </c>
      <c r="E52" s="20" t="s">
        <v>205</v>
      </c>
      <c r="F52" s="16"/>
      <c r="H52" s="20"/>
      <c r="K52" s="20"/>
    </row>
    <row r="53" spans="1:11">
      <c r="A53" s="17"/>
      <c r="B53" s="18" t="s">
        <v>206</v>
      </c>
      <c r="C53" s="20">
        <v>65000</v>
      </c>
      <c r="D53" s="20">
        <v>70000</v>
      </c>
      <c r="E53" s="20"/>
      <c r="F53" s="16"/>
      <c r="H53" s="20"/>
      <c r="K53" s="20"/>
    </row>
    <row r="54" spans="1:11">
      <c r="A54" s="17"/>
      <c r="B54" s="18" t="s">
        <v>207</v>
      </c>
      <c r="C54" s="20">
        <v>36500</v>
      </c>
      <c r="D54" s="20">
        <v>38500</v>
      </c>
      <c r="E54" s="20">
        <v>72000</v>
      </c>
      <c r="F54" s="16"/>
      <c r="H54" s="20"/>
      <c r="K54" s="20"/>
    </row>
    <row r="55" spans="1:11">
      <c r="A55" s="17"/>
      <c r="B55" s="18" t="s">
        <v>208</v>
      </c>
      <c r="C55" s="20" t="s">
        <v>209</v>
      </c>
      <c r="D55" s="20" t="s">
        <v>210</v>
      </c>
      <c r="E55" s="20">
        <v>80000</v>
      </c>
      <c r="F55" s="16"/>
      <c r="H55" s="20"/>
      <c r="K55" s="20"/>
    </row>
    <row r="56" spans="1:11">
      <c r="A56" s="17"/>
      <c r="B56" s="18" t="s">
        <v>211</v>
      </c>
      <c r="C56" s="20" t="s">
        <v>212</v>
      </c>
      <c r="D56" s="20" t="s">
        <v>213</v>
      </c>
      <c r="E56" s="20" t="s">
        <v>214</v>
      </c>
      <c r="F56" s="16"/>
      <c r="H56" s="20"/>
      <c r="K56" s="20"/>
    </row>
    <row r="57" spans="1:11">
      <c r="A57" s="17"/>
      <c r="B57" s="18" t="s">
        <v>215</v>
      </c>
      <c r="C57" s="20" t="s">
        <v>131</v>
      </c>
      <c r="D57" s="20" t="s">
        <v>132</v>
      </c>
      <c r="E57" s="20" t="s">
        <v>171</v>
      </c>
      <c r="F57" s="16"/>
      <c r="H57" s="20"/>
      <c r="K57" s="20"/>
    </row>
    <row r="58" spans="1:11">
      <c r="A58" s="17"/>
      <c r="B58" s="18" t="s">
        <v>216</v>
      </c>
      <c r="C58" s="20" t="s">
        <v>105</v>
      </c>
      <c r="D58" s="20" t="s">
        <v>106</v>
      </c>
      <c r="E58" s="20" t="s">
        <v>276</v>
      </c>
      <c r="F58" s="16"/>
      <c r="H58" s="20"/>
      <c r="K58" s="20"/>
    </row>
    <row r="59" spans="1:11">
      <c r="A59" s="17"/>
      <c r="B59" s="18" t="s">
        <v>217</v>
      </c>
      <c r="C59" s="20" t="s">
        <v>183</v>
      </c>
      <c r="D59" s="20" t="s">
        <v>184</v>
      </c>
      <c r="E59" s="20" t="s">
        <v>218</v>
      </c>
      <c r="F59" s="16"/>
      <c r="H59" s="20"/>
      <c r="K59" s="20"/>
    </row>
    <row r="60" spans="1:11">
      <c r="A60" s="17"/>
      <c r="B60" s="18" t="s">
        <v>219</v>
      </c>
      <c r="C60" s="20" t="s">
        <v>143</v>
      </c>
      <c r="D60" s="20" t="s">
        <v>117</v>
      </c>
      <c r="E60" s="20" t="s">
        <v>220</v>
      </c>
      <c r="F60" s="16"/>
      <c r="H60" s="20"/>
      <c r="K60" s="20"/>
    </row>
    <row r="61" spans="1:11">
      <c r="A61" s="17"/>
      <c r="B61" s="18" t="s">
        <v>221</v>
      </c>
      <c r="C61" s="20" t="s">
        <v>117</v>
      </c>
      <c r="D61" s="20" t="s">
        <v>105</v>
      </c>
      <c r="E61" s="20" t="s">
        <v>119</v>
      </c>
      <c r="F61" s="16"/>
      <c r="H61" s="20"/>
      <c r="K61" s="20"/>
    </row>
    <row r="62" spans="1:11">
      <c r="A62" s="17"/>
      <c r="B62" s="18" t="s">
        <v>222</v>
      </c>
      <c r="C62" s="20">
        <v>54500</v>
      </c>
      <c r="D62" s="20">
        <v>56500</v>
      </c>
      <c r="E62" s="20">
        <v>94000</v>
      </c>
      <c r="F62" s="16"/>
      <c r="H62" s="20"/>
      <c r="K62" s="20"/>
    </row>
    <row r="63" spans="1:11">
      <c r="A63" s="17"/>
      <c r="B63" s="18" t="s">
        <v>223</v>
      </c>
      <c r="C63" s="20" t="s">
        <v>105</v>
      </c>
      <c r="D63" s="20" t="s">
        <v>224</v>
      </c>
      <c r="E63" s="20"/>
      <c r="F63" s="16"/>
      <c r="H63" s="20"/>
      <c r="K63" s="20"/>
    </row>
    <row r="64" spans="1:11">
      <c r="A64" s="17"/>
      <c r="B64" s="18" t="s">
        <v>225</v>
      </c>
      <c r="C64" s="20">
        <v>48000</v>
      </c>
      <c r="D64" s="20">
        <v>50000</v>
      </c>
      <c r="E64" s="20"/>
      <c r="F64" s="16"/>
      <c r="H64" s="20"/>
      <c r="K64" s="20"/>
    </row>
    <row r="65" spans="1:11">
      <c r="A65" s="17"/>
      <c r="B65" s="18" t="s">
        <v>226</v>
      </c>
      <c r="C65" s="20" t="s">
        <v>143</v>
      </c>
      <c r="D65" s="20" t="s">
        <v>117</v>
      </c>
      <c r="E65" s="20" t="s">
        <v>115</v>
      </c>
      <c r="F65" s="16"/>
      <c r="H65" s="20"/>
      <c r="K65" s="20"/>
    </row>
    <row r="66" spans="1:11">
      <c r="A66" s="17"/>
      <c r="B66" s="18" t="s">
        <v>227</v>
      </c>
      <c r="C66" s="20" t="s">
        <v>105</v>
      </c>
      <c r="D66" s="20" t="s">
        <v>106</v>
      </c>
      <c r="E66" s="20" t="s">
        <v>140</v>
      </c>
      <c r="F66" s="16"/>
      <c r="H66" s="20"/>
      <c r="K66" s="20"/>
    </row>
    <row r="67" spans="1:11">
      <c r="A67" s="17"/>
      <c r="B67" s="18" t="s">
        <v>228</v>
      </c>
      <c r="C67" s="20" t="s">
        <v>160</v>
      </c>
      <c r="D67" s="20" t="s">
        <v>143</v>
      </c>
      <c r="E67" s="20"/>
      <c r="F67" s="16"/>
      <c r="H67" s="20"/>
      <c r="K67" s="20"/>
    </row>
    <row r="68" spans="1:11">
      <c r="A68" s="17"/>
      <c r="B68" s="18" t="s">
        <v>229</v>
      </c>
      <c r="C68" s="20" t="s">
        <v>160</v>
      </c>
      <c r="D68" s="20" t="s">
        <v>166</v>
      </c>
      <c r="E68" s="20"/>
      <c r="F68" s="16"/>
      <c r="H68" s="20"/>
      <c r="K68" s="20"/>
    </row>
    <row r="69" spans="1:11">
      <c r="A69" s="17"/>
      <c r="B69" s="18" t="s">
        <v>230</v>
      </c>
      <c r="C69" s="20">
        <v>41500</v>
      </c>
      <c r="D69" s="20">
        <v>43000</v>
      </c>
      <c r="E69" s="20">
        <v>63000</v>
      </c>
      <c r="F69" s="16"/>
      <c r="H69" s="20"/>
      <c r="K69" s="20"/>
    </row>
    <row r="70" spans="1:11">
      <c r="A70" s="17"/>
      <c r="B70" s="18" t="s">
        <v>231</v>
      </c>
      <c r="C70" s="20" t="s">
        <v>105</v>
      </c>
      <c r="D70" s="20" t="s">
        <v>106</v>
      </c>
      <c r="E70" s="20" t="s">
        <v>175</v>
      </c>
      <c r="F70" s="16"/>
      <c r="H70" s="20"/>
      <c r="K70" s="20"/>
    </row>
    <row r="71" spans="1:11">
      <c r="A71" s="17"/>
      <c r="B71" s="18" t="s">
        <v>232</v>
      </c>
      <c r="C71" s="20">
        <v>52000</v>
      </c>
      <c r="D71" s="20">
        <v>57000</v>
      </c>
      <c r="E71" s="20">
        <v>120000</v>
      </c>
      <c r="F71" s="16"/>
      <c r="H71" s="20"/>
      <c r="K71" s="20"/>
    </row>
    <row r="72" spans="1:11">
      <c r="A72" s="17"/>
      <c r="B72" s="18" t="s">
        <v>233</v>
      </c>
      <c r="C72" s="20" t="s">
        <v>234</v>
      </c>
      <c r="D72" s="20" t="s">
        <v>235</v>
      </c>
      <c r="E72" s="20" t="s">
        <v>171</v>
      </c>
      <c r="F72" s="16"/>
      <c r="H72" s="20"/>
      <c r="K72" s="20"/>
    </row>
    <row r="73" spans="1:11">
      <c r="A73" s="17"/>
      <c r="B73" s="18" t="s">
        <v>236</v>
      </c>
      <c r="C73" s="20" t="s">
        <v>198</v>
      </c>
      <c r="D73" s="20" t="s">
        <v>118</v>
      </c>
      <c r="E73" s="20" t="s">
        <v>237</v>
      </c>
      <c r="F73" s="16"/>
      <c r="H73" s="20"/>
      <c r="K73" s="20"/>
    </row>
    <row r="74" spans="1:11">
      <c r="A74" s="17"/>
      <c r="B74" s="18" t="s">
        <v>238</v>
      </c>
      <c r="C74" s="20">
        <v>47000</v>
      </c>
      <c r="D74" s="20">
        <v>50000</v>
      </c>
      <c r="E74" s="20">
        <v>100000</v>
      </c>
      <c r="F74" s="16"/>
      <c r="H74" s="20"/>
      <c r="K74" s="20"/>
    </row>
    <row r="75" spans="1:11">
      <c r="A75" s="17"/>
      <c r="B75" s="18" t="s">
        <v>239</v>
      </c>
      <c r="C75" s="20" t="s">
        <v>191</v>
      </c>
      <c r="D75" s="20" t="s">
        <v>121</v>
      </c>
      <c r="E75" s="20" t="s">
        <v>106</v>
      </c>
      <c r="F75" s="16"/>
      <c r="H75" s="20"/>
      <c r="K75" s="20"/>
    </row>
    <row r="76" spans="1:11">
      <c r="A76" s="17"/>
      <c r="B76" s="18" t="s">
        <v>240</v>
      </c>
      <c r="C76" s="20" t="s">
        <v>105</v>
      </c>
      <c r="D76" s="20" t="s">
        <v>106</v>
      </c>
      <c r="E76" s="20"/>
      <c r="F76" s="16"/>
      <c r="H76" s="20"/>
      <c r="K76" s="20"/>
    </row>
    <row r="77" spans="1:11">
      <c r="A77" s="17"/>
      <c r="B77" s="18" t="s">
        <v>241</v>
      </c>
      <c r="C77" s="20" t="s">
        <v>143</v>
      </c>
      <c r="D77" s="20" t="s">
        <v>117</v>
      </c>
      <c r="E77" s="20" t="s">
        <v>242</v>
      </c>
      <c r="F77" s="16"/>
      <c r="H77" s="20"/>
      <c r="K77" s="20"/>
    </row>
    <row r="78" spans="1:11">
      <c r="A78" s="17"/>
      <c r="B78" s="19" t="s">
        <v>243</v>
      </c>
      <c r="C78" s="20" t="s">
        <v>184</v>
      </c>
      <c r="D78" s="20" t="s">
        <v>209</v>
      </c>
      <c r="E78" s="20"/>
      <c r="F78" s="16"/>
      <c r="H78" s="20"/>
      <c r="K78" s="20"/>
    </row>
    <row r="79" spans="1:11">
      <c r="A79" s="17"/>
      <c r="B79" s="18" t="s">
        <v>244</v>
      </c>
      <c r="C79" s="20" t="s">
        <v>245</v>
      </c>
      <c r="D79" s="20" t="s">
        <v>136</v>
      </c>
      <c r="E79" s="20" t="s">
        <v>246</v>
      </c>
      <c r="F79" s="16"/>
      <c r="H79" s="20"/>
      <c r="K79" s="20"/>
    </row>
    <row r="80" spans="1:11">
      <c r="A80" s="17"/>
      <c r="B80" s="18" t="s">
        <v>247</v>
      </c>
      <c r="C80" s="20" t="s">
        <v>151</v>
      </c>
      <c r="D80" s="20" t="s">
        <v>248</v>
      </c>
      <c r="E80" s="20" t="s">
        <v>220</v>
      </c>
      <c r="F80" s="16"/>
      <c r="H80" s="20"/>
      <c r="K80" s="20"/>
    </row>
    <row r="81" spans="1:11">
      <c r="A81" s="17"/>
      <c r="B81" s="18" t="s">
        <v>249</v>
      </c>
      <c r="C81" s="20">
        <v>45000</v>
      </c>
      <c r="D81" s="20">
        <v>49000</v>
      </c>
      <c r="E81" s="20">
        <v>80000</v>
      </c>
      <c r="F81" s="16"/>
      <c r="H81" s="20"/>
      <c r="K81" s="20"/>
    </row>
    <row r="82" spans="1:11">
      <c r="A82" s="17"/>
      <c r="B82" s="18" t="s">
        <v>250</v>
      </c>
      <c r="C82" s="20" t="s">
        <v>105</v>
      </c>
      <c r="D82" s="20" t="s">
        <v>106</v>
      </c>
      <c r="E82" s="20" t="s">
        <v>251</v>
      </c>
      <c r="F82" s="16"/>
      <c r="H82" s="20"/>
      <c r="K82" s="20"/>
    </row>
    <row r="83" spans="1:11">
      <c r="A83" s="17"/>
      <c r="B83" s="18" t="s">
        <v>252</v>
      </c>
      <c r="C83" s="20">
        <v>41000</v>
      </c>
      <c r="D83" s="20">
        <v>43000</v>
      </c>
      <c r="E83" s="20">
        <v>68000</v>
      </c>
      <c r="F83" s="16"/>
      <c r="H83" s="20"/>
      <c r="K83" s="20"/>
    </row>
    <row r="84" spans="1:11">
      <c r="A84" s="17"/>
      <c r="B84" s="18" t="s">
        <v>253</v>
      </c>
      <c r="C84" s="20" t="s">
        <v>254</v>
      </c>
      <c r="D84" s="20" t="s">
        <v>210</v>
      </c>
      <c r="E84" s="20" t="s">
        <v>143</v>
      </c>
      <c r="F84" s="16"/>
      <c r="H84" s="20"/>
      <c r="K84" s="20"/>
    </row>
    <row r="85" spans="1:11">
      <c r="A85" s="17"/>
      <c r="B85" s="18" t="s">
        <v>255</v>
      </c>
      <c r="C85" s="20" t="s">
        <v>143</v>
      </c>
      <c r="D85" s="20" t="s">
        <v>117</v>
      </c>
      <c r="E85" s="20" t="s">
        <v>256</v>
      </c>
      <c r="F85" s="16"/>
      <c r="H85" s="20"/>
      <c r="K85" s="20"/>
    </row>
    <row r="86" spans="1:11">
      <c r="A86" s="17"/>
      <c r="B86" s="18" t="s">
        <v>257</v>
      </c>
      <c r="C86" s="20" t="s">
        <v>137</v>
      </c>
      <c r="D86" s="20" t="s">
        <v>122</v>
      </c>
      <c r="E86" s="20" t="s">
        <v>169</v>
      </c>
      <c r="F86" s="16"/>
      <c r="H86" s="20"/>
      <c r="K86" s="20"/>
    </row>
    <row r="87" spans="1:11">
      <c r="A87" s="17"/>
      <c r="B87" s="18" t="s">
        <v>258</v>
      </c>
      <c r="C87" s="20" t="s">
        <v>105</v>
      </c>
      <c r="D87" s="20" t="s">
        <v>106</v>
      </c>
      <c r="E87" s="20" t="s">
        <v>259</v>
      </c>
      <c r="F87" s="16"/>
      <c r="H87" s="20"/>
      <c r="K87" s="20"/>
    </row>
    <row r="88" spans="1:11">
      <c r="A88" s="17"/>
      <c r="B88" s="18" t="s">
        <v>260</v>
      </c>
      <c r="C88" s="20" t="s">
        <v>246</v>
      </c>
      <c r="D88" s="20" t="s">
        <v>261</v>
      </c>
      <c r="E88" s="20" t="s">
        <v>175</v>
      </c>
      <c r="F88" s="16"/>
      <c r="H88" s="20"/>
      <c r="K88" s="20"/>
    </row>
    <row r="89" spans="1:11">
      <c r="A89" s="17"/>
      <c r="B89" s="18" t="s">
        <v>262</v>
      </c>
      <c r="C89" s="20" t="s">
        <v>263</v>
      </c>
      <c r="D89" s="20" t="s">
        <v>264</v>
      </c>
      <c r="E89" s="20" t="s">
        <v>163</v>
      </c>
      <c r="F89" s="16"/>
      <c r="H89" s="20"/>
      <c r="K89" s="20"/>
    </row>
    <row r="90" spans="1:11">
      <c r="A90" s="17"/>
      <c r="B90" s="18" t="s">
        <v>265</v>
      </c>
      <c r="C90" s="20" t="s">
        <v>117</v>
      </c>
      <c r="D90" s="20" t="s">
        <v>105</v>
      </c>
      <c r="E90" s="20" t="s">
        <v>140</v>
      </c>
      <c r="F90" s="16"/>
      <c r="H90" s="20"/>
      <c r="K90" s="20"/>
    </row>
    <row r="91" spans="1:11">
      <c r="A91" s="17"/>
      <c r="B91" s="18" t="s">
        <v>266</v>
      </c>
      <c r="C91" s="20" t="s">
        <v>267</v>
      </c>
      <c r="D91" s="20" t="s">
        <v>268</v>
      </c>
      <c r="E91" s="20" t="s">
        <v>125</v>
      </c>
      <c r="F91" s="16"/>
      <c r="H91" s="20"/>
      <c r="K91" s="20"/>
    </row>
    <row r="92" spans="1:11">
      <c r="A92" s="17"/>
      <c r="B92" s="18" t="s">
        <v>269</v>
      </c>
      <c r="C92" s="20" t="s">
        <v>136</v>
      </c>
      <c r="D92" s="20" t="s">
        <v>270</v>
      </c>
      <c r="E92" s="20" t="s">
        <v>145</v>
      </c>
      <c r="F92" s="16"/>
      <c r="H92" s="20"/>
      <c r="K92" s="20"/>
    </row>
    <row r="93" spans="1:11">
      <c r="A93" s="17"/>
      <c r="B93" s="18" t="s">
        <v>271</v>
      </c>
      <c r="C93" s="20" t="s">
        <v>122</v>
      </c>
      <c r="D93" s="20" t="s">
        <v>272</v>
      </c>
      <c r="E93" s="20" t="s">
        <v>273</v>
      </c>
      <c r="F93" s="16"/>
    </row>
    <row r="94" spans="1:11">
      <c r="A94" s="17"/>
      <c r="B94" s="18" t="s">
        <v>274</v>
      </c>
      <c r="C94" s="20">
        <v>42000</v>
      </c>
      <c r="D94" s="20">
        <v>44000</v>
      </c>
      <c r="E94" s="20">
        <v>80000</v>
      </c>
      <c r="F94" s="16"/>
    </row>
    <row r="95" spans="1:11">
      <c r="A95" s="17"/>
      <c r="B95" s="17"/>
      <c r="C95" s="17"/>
      <c r="D95" s="17"/>
      <c r="E95" s="17"/>
      <c r="F95" s="52" t="s">
        <v>63</v>
      </c>
    </row>
    <row r="96" spans="1:11">
      <c r="A96" s="17"/>
      <c r="B96" s="5" t="s">
        <v>34</v>
      </c>
      <c r="C96" s="32">
        <f>MEDIAN(C4:C94)</f>
        <v>47000</v>
      </c>
      <c r="D96" s="32">
        <f>MEDIAN(D4:D94)</f>
        <v>50000</v>
      </c>
      <c r="E96" s="32">
        <f>MEDIAN(E5:E94)</f>
        <v>80000</v>
      </c>
      <c r="F96" s="32">
        <f>SUM(Table7[[#This Row],[1st year salary ]:[NQ salary ]])</f>
        <v>177000</v>
      </c>
      <c r="H96" s="4"/>
      <c r="K96" s="4"/>
    </row>
    <row r="97" spans="1:6">
      <c r="A97" s="17"/>
      <c r="B97" s="17" t="s">
        <v>35</v>
      </c>
      <c r="C97" s="22">
        <f>AVERAGE(C4:C94)</f>
        <v>47023.809523809527</v>
      </c>
      <c r="D97" s="22">
        <f>AVERAGE(D4:D94)</f>
        <v>50318.181818181816</v>
      </c>
      <c r="E97" s="22">
        <f>AVERAGE(E5:E94)</f>
        <v>87888.888888888891</v>
      </c>
      <c r="F97" s="4">
        <f>SUM(Table7[[#This Row],[1st year salary ]:[NQ salary ]])</f>
        <v>185230.88023088023</v>
      </c>
    </row>
    <row r="98" spans="1:6">
      <c r="A98" s="17"/>
      <c r="B98" s="17"/>
      <c r="C98" s="17"/>
      <c r="D98" s="17"/>
      <c r="E98" s="17"/>
    </row>
  </sheetData>
  <hyperlinks>
    <hyperlink ref="B4" r:id="rId1" display="https://www.chambersstudent.co.uk/addleshaw-goddard/true-picture/412/1" xr:uid="{FBA4096C-C465-D647-B5B5-5E3142B215AF}"/>
    <hyperlink ref="B5" r:id="rId2" display="https://www.chambersstudent.co.uk/akin-gump-strauss-hauer-feld/true-picture/504/1" xr:uid="{9B289AF5-DA22-294D-BCDF-7649E239D38F}"/>
    <hyperlink ref="B6" r:id="rId3" display="https://www.chambersstudent.co.uk/arnold-porter/true-picture/493/1" xr:uid="{7D5308A3-6F37-9648-AE03-59B88F39C593}"/>
    <hyperlink ref="B7" r:id="rId4" display="https://www.chambersstudent.co.uk/ashfords/true-picture/93611/1" xr:uid="{95FFB748-271A-864E-A016-B1DEC17F0510}"/>
    <hyperlink ref="B8" r:id="rId5" display="https://www.chambersstudent.co.uk/ashurst/true-picture/15/1" xr:uid="{B12C00AB-422B-7943-BEB9-B7F9852AA255}"/>
    <hyperlink ref="B9" r:id="rId6" display="https://www.chambersstudent.co.uk/baker-mckenzie/true-picture/16/1" xr:uid="{49D8D03E-DBE9-FC47-8675-C725339E0EAF}"/>
    <hyperlink ref="B10" r:id="rId7" display="https://www.chambersstudent.co.uk/bates-wells/true-picture/20/1" xr:uid="{92D71669-04F6-6D47-A90D-F9FFD7A6E4A2}"/>
    <hyperlink ref="B11" r:id="rId8" display="https://www.chambersstudent.co.uk/bristows/true-picture/49/1" xr:uid="{8925229C-6B64-8E44-8BD8-D9988333CAC4}"/>
    <hyperlink ref="B12" r:id="rId9" display="https://www.chambersstudent.co.uk/bryan-cave-leighton-paisner/true-picture/27/1" xr:uid="{BC313FF1-665B-4A46-A72D-A55CA1059EDA}"/>
    <hyperlink ref="B13" r:id="rId10" display="https://www.chambersstudent.co.uk/burges-salmon/true-picture/57/1" xr:uid="{E7F14DA2-9E2B-F943-ACCC-71BC72262C3F}"/>
    <hyperlink ref="B14" r:id="rId11" display="https://www.chambersstudent.co.uk/charles-russell-speechlys/true-picture/74/1" xr:uid="{27E9D864-7B85-2748-98EF-977898D1E62F}"/>
    <hyperlink ref="B15" r:id="rId12" display="https://www.chambersstudent.co.uk/cleary-gottlieb-steen-hamilton/true-picture/5869/1" xr:uid="{AA4E0B10-B082-CD43-9039-F1290F2FF7DD}"/>
    <hyperlink ref="B16" r:id="rId13" display="https://www.chambersstudent.co.uk/cms/true-picture/499/1" xr:uid="{F307544E-01C1-5D4B-A4BB-CD58E6DD2851}"/>
    <hyperlink ref="B17" r:id="rId14" display="https://www.chambersstudent.co.uk/collyer-bristow/true-picture/88/1" xr:uid="{93A224C1-63F2-6C4A-A24B-D049873EA4BB}"/>
    <hyperlink ref="B18" r:id="rId15" display="https://www.chambersstudent.co.uk/covington-burling/true-picture/93/1" xr:uid="{078ED7ED-88CD-2E45-8373-25F72F62A7DE}"/>
    <hyperlink ref="B19" r:id="rId16" display="https://www.chambersstudent.co.uk/cripps-pemberton-greenish/true-picture/94/1" xr:uid="{FFB73337-B6EC-3840-ADFC-8D6266183F71}"/>
    <hyperlink ref="B20" r:id="rId17" display="https://www.chambersstudent.co.uk/curtis-mallet-prevost-colt-mosle/true-picture/5928/1" xr:uid="{2CEBEF42-B7EA-0D48-9E2C-0D6A971FCB22}"/>
    <hyperlink ref="B21" r:id="rId18" display="https://www.chambersstudent.co.uk/davis-polk-wardwell-london/true-picture/5824/1" xr:uid="{7236E6F3-E2AC-6744-B782-3278874C65C9}"/>
    <hyperlink ref="B22" r:id="rId19" display="https://www.chambersstudent.co.uk/debevoise-plimpton/true-picture/5831/1" xr:uid="{1E224E1E-9474-764B-81BE-AD25468C09AE}"/>
    <hyperlink ref="B23" r:id="rId20" display="https://www.chambersstudent.co.uk/dechert/true-picture/418/1" xr:uid="{E871DD44-3E87-984C-9187-7F1EF7C95A41}"/>
    <hyperlink ref="B24" r:id="rId21" display="https://www.chambersstudent.co.uk/dentons/true-picture/111/1" xr:uid="{B3B80579-2059-4147-8C66-C0936ADE1EDA}"/>
    <hyperlink ref="B25" r:id="rId22" display="https://www.chambersstudent.co.uk/dla-piper/true-picture/22401592/1" xr:uid="{C4AAC667-7BEE-964D-B135-C9C5DEB47CA4}"/>
    <hyperlink ref="B26" r:id="rId23" display="https://www.chambersstudent.co.uk/dorsey-whitney/true-picture/5721/1" xr:uid="{C00A7B66-901A-D14C-9EEF-15B7176CF186}"/>
    <hyperlink ref="B27" r:id="rId24" display="https://www.chambersstudent.co.uk/farrer/true-picture/133/1" xr:uid="{D6B5F2F7-28D9-9740-B764-2F68035E41A5}"/>
    <hyperlink ref="B28" r:id="rId25" display="https://www.chambersstudent.co.uk/fladgate/true-picture/140/1" xr:uid="{878FA565-7A9F-FB42-A91D-060B40E6C179}"/>
    <hyperlink ref="B29" r:id="rId26" display="https://www.chambersstudent.co.uk/foot-anstey/true-picture/10748/1" xr:uid="{A699CAA1-6F59-6641-82AF-F2B15AFF7E6C}"/>
    <hyperlink ref="B30" r:id="rId27" display="https://www.chambersstudent.co.uk/forsters/true-picture/4395/1" xr:uid="{83F2419A-7022-D941-BA29-74D7A880E542}"/>
    <hyperlink ref="B31" r:id="rId28" display="https://www.chambersstudent.co.uk/fox-williams/true-picture/144/1" xr:uid="{574DD9D0-B36A-714C-BCD1-1A6FAB56EE77}"/>
    <hyperlink ref="B32" r:id="rId29" display="https://www.chambersstudent.co.uk/fried-frank-harris-shriver-jacobson/true-picture/5687/1" xr:uid="{8E5E6F43-EB2A-D04F-A940-9B83DF3ED5D4}"/>
    <hyperlink ref="B33" r:id="rId30" display="https://www.chambersstudent.co.uk/gateley-legal/true-picture/152/1" xr:uid="{09189AD8-F576-CB4B-B62D-522916AFF41B}"/>
    <hyperlink ref="B34" r:id="rId31" display="https://www.chambersstudent.co.uk/gibson-dunn-crutcher/true-picture/5566/1" xr:uid="{C60C53A2-CC3A-4041-9D1E-76DA656E5F02}"/>
    <hyperlink ref="B35" r:id="rId32" display="https://www.chambersstudent.co.uk/goodwin/true-picture/22637904/1" xr:uid="{003140E2-604C-7D42-AE4D-C45B81F9F9BF}"/>
    <hyperlink ref="B36" r:id="rId33" display="https://www.chambersstudent.co.uk/harbottle-lewis/true-picture/178/1" xr:uid="{8F4F07DC-5A14-2E40-883E-9E48E1F732FB}"/>
    <hyperlink ref="B37" r:id="rId34" display="https://www.chambersstudent.co.uk/haynes-and-boone/true-picture/490/1" xr:uid="{A143A1D6-AF27-BA41-89C6-1F9F3CDAF7BF}"/>
    <hyperlink ref="B38" r:id="rId35" display="https://www.chambersstudent.co.uk/hfw/true-picture/197/1" xr:uid="{4899B8D4-C075-8144-8292-2F976C49A877}"/>
    <hyperlink ref="B39" r:id="rId36" display="https://www.chambersstudent.co.uk/hill-dickinson/true-picture/193/1" xr:uid="{62459B12-8F1E-8E4D-9FF3-07D7A8AE4809}"/>
    <hyperlink ref="B40" r:id="rId37" display="https://www.chambersstudent.co.uk/hogan-lovells/true-picture/257/1" xr:uid="{16D1C44B-DBCA-BC47-9646-C3FBF0DBAE16}"/>
    <hyperlink ref="B41" r:id="rId38" display="https://www.chambersstudent.co.uk/howes-percival/true-picture/202/1" xr:uid="{CE9F7DEA-8F7D-E94D-8CEB-10950AC67134}"/>
    <hyperlink ref="B42" r:id="rId39" display="https://www.chambersstudent.co.uk/irwin-mitchell/true-picture/209/1" xr:uid="{E03E9921-090B-E348-8C03-A8E96091F814}"/>
    <hyperlink ref="B43" r:id="rId40" display="https://www.chambersstudent.co.uk/k-l-gates/true-picture/204430/1" xr:uid="{365BE75E-EE12-5349-A1F7-CE035695BD50}"/>
    <hyperlink ref="B44" r:id="rId41" display="https://www.chambersstudent.co.uk/kennedys/true-picture/222/1" xr:uid="{095CD67B-F9B0-FF41-AA37-80356ECF66D7}"/>
    <hyperlink ref="B45" r:id="rId42" display="https://www.chambersstudent.co.uk/kingsley-napley/true-picture/229/1" xr:uid="{EF792C5B-7AD1-894C-91CC-6961CC9BA692}"/>
    <hyperlink ref="B46" r:id="rId43" display="https://www.chambersstudent.co.uk/kirkland-ellis-international/true-picture/4500/1" xr:uid="{213F9429-AD95-3E4D-AE4D-EC203EB4120E}"/>
    <hyperlink ref="B47" r:id="rId44" display="https://www.chambersstudent.co.uk/latham-watkins/true-picture/234/1" xr:uid="{CA27FCC9-DA06-7C47-B40B-FA523DA18690}"/>
    <hyperlink ref="B48" r:id="rId45" display="https://www.chambersstudent.co.uk/lewis-silkin/true-picture/251/1" xr:uid="{8D8119B3-41C3-7041-B2B3-E365889F3CB0}"/>
    <hyperlink ref="B49" r:id="rId46" display="https://www.chambersstudent.co.uk/macfarlanes/true-picture/259/1" xr:uid="{EC7710B5-DBA7-9843-820C-958114511A97}"/>
    <hyperlink ref="B50" r:id="rId47" display="https://www.chambersstudent.co.uk/maples-teesdale/true-picture/266/1" xr:uid="{9284FF32-4A9A-3144-B621-F608BDD0EDBB}"/>
    <hyperlink ref="B51" r:id="rId48" display="https://www.chambersstudent.co.uk/marriott-harrison/true-picture/268/1" xr:uid="{1ED3EAAA-7FA4-CC4F-A4C6-FF2AE656B948}"/>
    <hyperlink ref="B52" r:id="rId49" display="https://www.chambersstudent.co.uk/mayer-brown-international/true-picture/354/1" xr:uid="{10964C78-B960-9F46-BCEA-228E3E851B05}"/>
    <hyperlink ref="B53" r:id="rId50" display="https://www.chambersstudent.co.uk/mcdermott-will-emery/true-picture/2583/1" xr:uid="{ADB1C52D-156F-7C4A-9EDC-A7CA2FF761F2}"/>
    <hyperlink ref="B54" r:id="rId51" display="https://www.chambersstudent.co.uk/michelmores/true-picture/285/1" xr:uid="{0BD73A05-E5C8-9440-9996-2E2B5A4B7131}"/>
    <hyperlink ref="B55" r:id="rId52" display="https://www.chambersstudent.co.uk/mills-reeve/true-picture/863/1" xr:uid="{DF6B01C4-11AE-C048-A8C3-CCC1A83D8630}"/>
    <hyperlink ref="B56" r:id="rId53" display="https://www.chambersstudent.co.uk/mishcon-de-reya/true-picture/292/1" xr:uid="{31AC6391-2E1E-6B4E-B69A-15E41A15583E}"/>
    <hyperlink ref="B57" r:id="rId54" display="https://www.chambersstudent.co.uk/morgan-lewis-bockius/true-picture/297/1" xr:uid="{81628AC7-F67A-324E-AE11-31165818B7BA}"/>
    <hyperlink ref="B58" r:id="rId55" display="https://www.chambersstudent.co.uk/morrison-foerster/true-picture/5077/1" xr:uid="{2D1DCB7A-9885-B04E-BE1F-1D9FE83B7CAB}"/>
    <hyperlink ref="B59" r:id="rId56" display="https://www.chambersstudent.co.uk/muckle/true-picture/344/1" xr:uid="{4B9BCDCA-8195-D249-B2E3-DC2B09B01C97}"/>
    <hyperlink ref="B60" r:id="rId57" display="https://www.chambersstudent.co.uk/norton-rose-fulbright/true-picture/309/1" xr:uid="{D73029BA-3508-B246-B6B6-F2F9C2709742}"/>
    <hyperlink ref="B61" r:id="rId58" display="https://www.chambersstudent.co.uk/orrick-herrington-sutcliffe/true-picture/1226/1" xr:uid="{F4DF657E-E4A3-FC41-AF59-EC8E3301A359}"/>
    <hyperlink ref="B62" r:id="rId59" display="https://www.chambersstudent.co.uk/osborne-clarke/true-picture/9463/1" xr:uid="{152C12E6-44C6-1947-ADAB-C77672C2F64D}"/>
    <hyperlink ref="B63" r:id="rId60" display="https://www.chambersstudent.co.uk/paul-hastings-europe/true-picture/8039/1" xr:uid="{2782F8B1-4E65-A242-A622-4A683D51BF2D}"/>
    <hyperlink ref="B64" r:id="rId61" display="https://www.chambersstudent.co.uk/penningtons-manches-cooper/true-picture/322/1" xr:uid="{6F4304ED-96D3-8B46-9951-FECEAB71C1B5}"/>
    <hyperlink ref="B65" r:id="rId62" display="https://www.chambersstudent.co.uk/reed-smith/true-picture/4701/1" xr:uid="{767E5D05-F6E9-E645-BCE7-378869FE4518}"/>
    <hyperlink ref="B66" r:id="rId63" display="https://www.chambersstudent.co.uk/ropes-gray/true-picture/231687/1" xr:uid="{A3CE0A29-DEDA-094E-914F-8C0FC9A02F8B}"/>
    <hyperlink ref="B67" r:id="rId64" display="https://www.chambersstudent.co.uk/rpc/true-picture/341/1" xr:uid="{3303095F-DAD7-2945-BE3C-186664717ED2}"/>
    <hyperlink ref="B68" r:id="rId65" display="https://www.chambersstudent.co.uk/russell-cooke/true-picture/359/1" xr:uid="{271295BA-51F7-694E-ABD8-55D09F45F8DB}"/>
    <hyperlink ref="B69" r:id="rId66" display="https://www.chambersstudent.co.uk/law-firms/a-to-z-firm-list" xr:uid="{0C559F2C-3393-B54E-9FF8-53C034E5BA82}"/>
    <hyperlink ref="B70" r:id="rId67" display="https://www.chambersstudent.co.uk/sidley-austin/true-picture/54/1" xr:uid="{94367D9F-F85D-A248-9AB4-433D369E359E}"/>
    <hyperlink ref="B71" r:id="rId68" display="https://www.chambersstudent.co.uk/simmons-simmons/true-picture/383/1" xr:uid="{C766B391-3B83-F044-915D-9C36D66D184A}"/>
    <hyperlink ref="B72" r:id="rId69" display="https://www.chambersstudent.co.uk/skadden-arps-slate-meagher-flom-uk/true-picture/4805/1" xr:uid="{7AE3BF4B-6755-B343-A688-34C4AA5F8443}"/>
    <hyperlink ref="B73" r:id="rId70" display="https://www.chambersstudent.co.uk/slaughter-and-may/true-picture/389/1" xr:uid="{E60CFF37-D348-9F46-9F28-925310C6ECEE}"/>
    <hyperlink ref="B74" r:id="rId71" display="https://www.chambersstudent.co.uk/squire-patton-boggs/true-picture/3680/1" xr:uid="{BEF638D4-1A7A-B340-B4A0-004EB106AE78}"/>
    <hyperlink ref="B75" r:id="rId72" display="https://www.chambersstudent.co.uk/stevens-bolton/true-picture/400/1" xr:uid="{93F6BEA2-F48D-F648-8FB3-E55D3E920425}"/>
    <hyperlink ref="B76" r:id="rId73" display="https://www.chambersstudent.co.uk/sullivan-cromwell/true-picture/4741/1" xr:uid="{E7BE176A-6674-AF4D-BFAA-325CFDFEACF9}"/>
    <hyperlink ref="B77" r:id="rId74" display="https://www.chambersstudent.co.uk/taylor-wessing/true-picture/407/1" xr:uid="{DF6B8AEF-C568-6E46-B7F7-9C14D055417B}"/>
    <hyperlink ref="B79" r:id="rId75" display="https://www.chambersstudent.co.uk/tlt/true-picture/238/1" xr:uid="{EC97749E-7466-9D46-8AE6-96D791733E4C}"/>
    <hyperlink ref="B80" r:id="rId76" display="https://www.chambersstudent.co.uk/travers-smith/true-picture/424/1" xr:uid="{688989AA-B498-EB41-BDB3-231799246C84}"/>
    <hyperlink ref="B81" r:id="rId77" display="https://www.chambersstudent.co.uk/trowers-hamlins/true-picture/425/1" xr:uid="{BEB56C89-F36B-6342-B830-2FB9B8FC4ABE}"/>
    <hyperlink ref="B82" r:id="rId78" display="https://www.chambersstudent.co.uk/vinson-elkins-rllp/true-picture/4682/1" xr:uid="{73FB8E80-C281-1641-901C-E8253DFFE6C4}"/>
    <hyperlink ref="B83" r:id="rId79" display="https://www.chambersstudent.co.uk/law-firms/a-to-z-firm-list" xr:uid="{3FCFD081-CFDF-604C-A5E8-2F562A79EABE}"/>
    <hyperlink ref="B84" r:id="rId80" display="https://www.chambersstudent.co.uk/ward-hadaway/true-picture/443/1" xr:uid="{6E41DFD8-F93D-5B4C-AC76-42D92AC5DFAA}"/>
    <hyperlink ref="B85" r:id="rId81" display="https://www.chambersstudent.co.uk/watson-farley-williams/true-picture/71034/1" xr:uid="{5940F419-AAD3-FB45-A2AC-FB46D3EC04BD}"/>
    <hyperlink ref="B86" r:id="rId82" display="https://www.chambersstudent.co.uk/wedlake-bell/true-picture/446/1" xr:uid="{43BF3FB6-0795-FF42-805B-51D5CFB7171D}"/>
    <hyperlink ref="B87" r:id="rId83" display="https://www.chambersstudent.co.uk/weil-gotshal-manges-london/true-picture/448/1" xr:uid="{464CB4DF-E285-9245-9D37-6C423F23611A}"/>
    <hyperlink ref="B88" r:id="rId84" display="https://www.chambersstudent.co.uk/white-case/true-picture/450/1" xr:uid="{9E9564E0-53F3-B64E-936D-F21762D4FFED}"/>
    <hyperlink ref="B89" r:id="rId85" display="https://www.chambersstudent.co.uk/wilkin-chapman/true-picture/4606/1" xr:uid="{E68C82B4-FB55-FA4A-8853-97B921AC862E}"/>
    <hyperlink ref="B90" r:id="rId86" display="https://www.chambersstudent.co.uk/willkie-farr-gallagher/true-picture/4616/1" xr:uid="{A9968D2F-DB6E-E34A-A1C9-3E4BF4CD0682}"/>
    <hyperlink ref="B91" r:id="rId87" display="https://www.chambersstudent.co.uk/wilsons/true-picture/459/1" xr:uid="{ADD974FD-D388-864E-B339-16780FF52E43}"/>
    <hyperlink ref="B92" r:id="rId88" display="https://www.chambersstudent.co.uk/winckworth-sherwood/true-picture/460/1" xr:uid="{EFBA48A7-B25B-4B4B-9A70-6F0C82EB10B1}"/>
    <hyperlink ref="B93" r:id="rId89" display="https://www.chambersstudent.co.uk/withers/true-picture/463/1" xr:uid="{F819C3BB-8049-9C4D-BF1D-46F134A2D182}"/>
    <hyperlink ref="B94" r:id="rId90" display="https://www.chambersstudent.co.uk/womble-bond-dickinson/true-picture/583/1" xr:uid="{8923E633-3F43-4842-A412-CA6435709838}"/>
    <hyperlink ref="G19" r:id="rId91" display="https://www.chambersstudent.co.uk/travers-smith/true-picture/424/1" xr:uid="{929C6B09-C826-A54F-BE3B-A65647049469}"/>
    <hyperlink ref="G16" r:id="rId92" display="https://www.chambersstudent.co.uk/ashurst/true-picture/15/1" xr:uid="{CB1050B1-B169-1E4B-85C0-4FEDA303A7EF}"/>
    <hyperlink ref="G17" r:id="rId93" display="https://www.chambersstudent.co.uk/bryan-cave-leighton-paisner/true-picture/27/1" xr:uid="{A0412686-DBCA-FB41-AFEB-E3B243445883}"/>
    <hyperlink ref="G18" r:id="rId94" display="https://www.chambersstudent.co.uk/macfarlanes/true-picture/259/1" xr:uid="{FA855DA6-C5D4-624A-8B44-A600FFC37AD2}"/>
  </hyperlinks>
  <pageMargins left="0.7" right="0.7" top="0.75" bottom="0.75" header="0.3" footer="0.3"/>
  <tableParts count="1">
    <tablePart r:id="rId9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Beliefs</vt:lpstr>
      <vt:lpstr>Information Sets</vt:lpstr>
      <vt:lpstr>BASc Grades</vt:lpstr>
      <vt:lpstr>Payoff Calculations</vt:lpstr>
      <vt:lpstr>Costs</vt:lpstr>
      <vt:lpstr>Probability - Barrister</vt:lpstr>
      <vt:lpstr>Salary - Barrister</vt:lpstr>
      <vt:lpstr>Probability - Solicitor</vt:lpstr>
      <vt:lpstr>Salary - Solicitor</vt:lpstr>
      <vt:lpstr>Magic Circle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Adams, Joy</dc:creator>
  <cp:lastModifiedBy>Adams, Joy</cp:lastModifiedBy>
  <dcterms:created xsi:type="dcterms:W3CDTF">2025-03-27T16:11:49Z</dcterms:created>
  <dcterms:modified xsi:type="dcterms:W3CDTF">2025-04-06T10:45:08Z</dcterms:modified>
</cp:coreProperties>
</file>