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ml.chartshap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ml.chartshape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9.xml" ContentType="application/vnd.openxmlformats-officedocument.drawingml.chartshapes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0.xml" ContentType="application/vnd.openxmlformats-officedocument.drawingml.chartshapes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1.xml" ContentType="application/vnd.openxmlformats-officedocument.drawingml.chartshapes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2.xml" ContentType="application/vnd.openxmlformats-officedocument.drawingml.chartshapes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3.xml" ContentType="application/vnd.openxmlformats-officedocument.drawingml.chartshapes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4.xml" ContentType="application/vnd.openxmlformats-officedocument.drawingml.chartshapes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5.xml" ContentType="application/vnd.openxmlformats-officedocument.drawingml.chartshapes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6.xml" ContentType="application/vnd.openxmlformats-officedocument.drawingml.chartshapes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17.xml" ContentType="application/vnd.openxmlformats-officedocument.drawingml.chartshapes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8.xml" ContentType="application/vnd.openxmlformats-officedocument.drawingml.chartshapes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19.xml" ContentType="application/vnd.openxmlformats-officedocument.drawingml.chartshapes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20.xml" ContentType="application/vnd.openxmlformats-officedocument.drawingml.chartshapes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21.xml" ContentType="application/vnd.openxmlformats-officedocument.drawingml.chartshapes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22.xml" ContentType="application/vnd.openxmlformats-officedocument.drawingml.chartshapes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23.xml" ContentType="application/vnd.openxmlformats-officedocument.drawingml.chartshapes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24.xml" ContentType="application/vnd.openxmlformats-officedocument.drawingml.chartshapes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25.xml" ContentType="application/vnd.openxmlformats-officedocument.drawingml.chartshapes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26.xml" ContentType="application/vnd.openxmlformats-officedocument.drawingml.chartshapes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27.xml" ContentType="application/vnd.openxmlformats-officedocument.drawingml.chartshapes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28.xml" ContentType="application/vnd.openxmlformats-officedocument.drawingml.chartshapes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29.xml" ContentType="application/vnd.openxmlformats-officedocument.drawingml.chartshapes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drawings/drawing30.xml" ContentType="application/vnd.openxmlformats-officedocument.drawingml.chartshapes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drawings/drawing31.xml" ContentType="application/vnd.openxmlformats-officedocument.drawingml.chartshapes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32.xml" ContentType="application/vnd.openxmlformats-officedocument.drawingml.chartshapes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drawings/drawing33.xml" ContentType="application/vnd.openxmlformats-officedocument.drawingml.chartshapes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drawings/drawing34.xml" ContentType="application/vnd.openxmlformats-officedocument.drawingml.chartshapes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drawings/drawing35.xml" ContentType="application/vnd.openxmlformats-officedocument.drawingml.chartshapes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36.xml" ContentType="application/vnd.openxmlformats-officedocument.drawingml.chartshapes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drawings/drawing37.xml" ContentType="application/vnd.openxmlformats-officedocument.drawingml.chartshapes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drawings/drawing38.xml" ContentType="application/vnd.openxmlformats-officedocument.drawingml.chartshapes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drawings/drawing39.xml" ContentType="application/vnd.openxmlformats-officedocument.drawingml.chartshapes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drawings/drawing40.xml" ContentType="application/vnd.openxmlformats-officedocument.drawingml.chartshapes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drawings/drawing41.xml" ContentType="application/vnd.openxmlformats-officedocument.drawingml.chartshapes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drawings/drawing42.xml" ContentType="application/vnd.openxmlformats-officedocument.drawingml.chartshapes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drawings/drawing43.xml" ContentType="application/vnd.openxmlformats-officedocument.drawingml.chartshapes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drawings/drawing44.xml" ContentType="application/vnd.openxmlformats-officedocument.drawingml.chartshapes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drawings/drawing45.xml" ContentType="application/vnd.openxmlformats-officedocument.drawingml.chartshapes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drawings/drawing46.xml" ContentType="application/vnd.openxmlformats-officedocument.drawingml.chartshapes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drawings/drawing47.xml" ContentType="application/vnd.openxmlformats-officedocument.drawingml.chartshapes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drawings/drawing48.xml" ContentType="application/vnd.openxmlformats-officedocument.drawingml.chartshapes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drawings/drawing49.xml" ContentType="application/vnd.openxmlformats-officedocument.drawingml.chartshapes+xml"/>
  <Override PartName="/xl/drawings/drawing50.xml" ContentType="application/vnd.openxmlformats-officedocument.drawing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drawings/drawing51.xml" ContentType="application/vnd.openxmlformats-officedocument.drawingml.chartshapes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drawings/drawing52.xml" ContentType="application/vnd.openxmlformats-officedocument.drawingml.chartshapes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drawings/drawing53.xml" ContentType="application/vnd.openxmlformats-officedocument.drawing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drawings/drawing54.xml" ContentType="application/vnd.openxmlformats-officedocument.drawingml.chartshapes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drawings/drawing55.xml" ContentType="application/vnd.openxmlformats-officedocument.drawingml.chartshapes+xml"/>
  <Override PartName="/xl/drawings/drawing56.xml" ContentType="application/vnd.openxmlformats-officedocument.drawing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drawings/drawing57.xml" ContentType="application/vnd.openxmlformats-officedocument.drawingml.chartshapes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drawings/drawing58.xml" ContentType="application/vnd.openxmlformats-officedocument.drawingml.chartshapes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drawings/drawing59.xml" ContentType="application/vnd.openxmlformats-officedocument.drawing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drawings/drawing60.xml" ContentType="application/vnd.openxmlformats-officedocument.drawingml.chartshapes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drawings/drawing61.xml" ContentType="application/vnd.openxmlformats-officedocument.drawingml.chartshapes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drawings/drawing62.xml" ContentType="application/vnd.openxmlformats-officedocument.drawingml.chartshapes+xml"/>
  <Override PartName="/xl/drawings/drawing63.xml" ContentType="application/vnd.openxmlformats-officedocument.drawing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drawings/drawing64.xml" ContentType="application/vnd.openxmlformats-officedocument.drawingml.chartshapes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drawings/drawing65.xml" ContentType="application/vnd.openxmlformats-officedocument.drawingml.chartshapes+xml"/>
  <Override PartName="/xl/drawings/drawing66.xml" ContentType="application/vnd.openxmlformats-officedocument.drawing+xml"/>
  <Override PartName="/xl/charts/chart76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drawings/drawing67.xml" ContentType="application/vnd.openxmlformats-officedocument.drawingml.chartshapes+xml"/>
  <Override PartName="/xl/charts/chart77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drawings/drawing68.xml" ContentType="application/vnd.openxmlformats-officedocument.drawingml.chartshapes+xml"/>
  <Override PartName="/xl/charts/chart78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drawings/drawing69.xml" ContentType="application/vnd.openxmlformats-officedocument.drawing+xml"/>
  <Override PartName="/xl/charts/chart79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drawings/drawing70.xml" ContentType="application/vnd.openxmlformats-officedocument.drawingml.chartshapes+xml"/>
  <Override PartName="/xl/charts/chart80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drawings/drawing71.xml" ContentType="application/vnd.openxmlformats-officedocument.drawingml.chartshapes+xml"/>
  <Override PartName="/xl/charts/chart81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drawings/drawing72.xml" ContentType="application/vnd.openxmlformats-officedocument.drawing+xml"/>
  <Override PartName="/xl/charts/chart82.xml" ContentType="application/vnd.openxmlformats-officedocument.drawingml.chart+xml"/>
  <Override PartName="/xl/charts/style82.xml" ContentType="application/vnd.ms-office.chartstyle+xml"/>
  <Override PartName="/xl/charts/colors82.xml" ContentType="application/vnd.ms-office.chartcolorstyle+xml"/>
  <Override PartName="/xl/charts/chart83.xml" ContentType="application/vnd.openxmlformats-officedocument.drawingml.chart+xml"/>
  <Override PartName="/xl/charts/style83.xml" ContentType="application/vnd.ms-office.chartstyle+xml"/>
  <Override PartName="/xl/charts/colors83.xml" ContentType="application/vnd.ms-office.chartcolorstyle+xml"/>
  <Override PartName="/xl/drawings/drawing73.xml" ContentType="application/vnd.openxmlformats-officedocument.drawingml.chartshapes+xml"/>
  <Override PartName="/xl/charts/chart84.xml" ContentType="application/vnd.openxmlformats-officedocument.drawingml.chart+xml"/>
  <Override PartName="/xl/charts/style84.xml" ContentType="application/vnd.ms-office.chartstyle+xml"/>
  <Override PartName="/xl/charts/colors84.xml" ContentType="application/vnd.ms-office.chartcolorstyle+xml"/>
  <Override PartName="/xl/drawings/drawing74.xml" ContentType="application/vnd.openxmlformats-officedocument.drawingml.chartshapes+xml"/>
  <Override PartName="/xl/drawings/drawing75.xml" ContentType="application/vnd.openxmlformats-officedocument.drawing+xml"/>
  <Override PartName="/xl/charts/chart85.xml" ContentType="application/vnd.openxmlformats-officedocument.drawingml.chart+xml"/>
  <Override PartName="/xl/charts/style85.xml" ContentType="application/vnd.ms-office.chartstyle+xml"/>
  <Override PartName="/xl/charts/colors85.xml" ContentType="application/vnd.ms-office.chartcolorstyle+xml"/>
  <Override PartName="/xl/drawings/drawing76.xml" ContentType="application/vnd.openxmlformats-officedocument.drawingml.chartshapes+xml"/>
  <Override PartName="/xl/charts/chart86.xml" ContentType="application/vnd.openxmlformats-officedocument.drawingml.chart+xml"/>
  <Override PartName="/xl/charts/style86.xml" ContentType="application/vnd.ms-office.chartstyle+xml"/>
  <Override PartName="/xl/charts/colors86.xml" ContentType="application/vnd.ms-office.chartcolorstyle+xml"/>
  <Override PartName="/xl/drawings/drawing77.xml" ContentType="application/vnd.openxmlformats-officedocument.drawingml.chartshapes+xml"/>
  <Override PartName="/xl/charts/chart87.xml" ContentType="application/vnd.openxmlformats-officedocument.drawingml.chart+xml"/>
  <Override PartName="/xl/charts/style87.xml" ContentType="application/vnd.ms-office.chartstyle+xml"/>
  <Override PartName="/xl/charts/colors87.xml" ContentType="application/vnd.ms-office.chartcolorstyle+xml"/>
  <Override PartName="/xl/drawings/drawing78.xml" ContentType="application/vnd.openxmlformats-officedocument.drawing+xml"/>
  <Override PartName="/xl/charts/chart88.xml" ContentType="application/vnd.openxmlformats-officedocument.drawingml.chart+xml"/>
  <Override PartName="/xl/charts/style88.xml" ContentType="application/vnd.ms-office.chartstyle+xml"/>
  <Override PartName="/xl/charts/colors88.xml" ContentType="application/vnd.ms-office.chartcolorstyle+xml"/>
  <Override PartName="/xl/drawings/drawing79.xml" ContentType="application/vnd.openxmlformats-officedocument.drawingml.chartshapes+xml"/>
  <Override PartName="/xl/charts/chart89.xml" ContentType="application/vnd.openxmlformats-officedocument.drawingml.chart+xml"/>
  <Override PartName="/xl/charts/style89.xml" ContentType="application/vnd.ms-office.chartstyle+xml"/>
  <Override PartName="/xl/charts/colors89.xml" ContentType="application/vnd.ms-office.chartcolorstyle+xml"/>
  <Override PartName="/xl/drawings/drawing80.xml" ContentType="application/vnd.openxmlformats-officedocument.drawingml.chartshapes+xml"/>
  <Override PartName="/xl/charts/chart90.xml" ContentType="application/vnd.openxmlformats-officedocument.drawingml.chart+xml"/>
  <Override PartName="/xl/charts/style90.xml" ContentType="application/vnd.ms-office.chartstyle+xml"/>
  <Override PartName="/xl/charts/colors90.xml" ContentType="application/vnd.ms-office.chartcolorstyle+xml"/>
  <Override PartName="/xl/drawings/drawing81.xml" ContentType="application/vnd.openxmlformats-officedocument.drawing+xml"/>
  <Override PartName="/xl/charts/chart91.xml" ContentType="application/vnd.openxmlformats-officedocument.drawingml.chart+xml"/>
  <Override PartName="/xl/charts/style91.xml" ContentType="application/vnd.ms-office.chartstyle+xml"/>
  <Override PartName="/xl/charts/colors91.xml" ContentType="application/vnd.ms-office.chartcolorstyle+xml"/>
  <Override PartName="/xl/drawings/drawing82.xml" ContentType="application/vnd.openxmlformats-officedocument.drawingml.chartshapes+xml"/>
  <Override PartName="/xl/charts/chart92.xml" ContentType="application/vnd.openxmlformats-officedocument.drawingml.chart+xml"/>
  <Override PartName="/xl/charts/style92.xml" ContentType="application/vnd.ms-office.chartstyle+xml"/>
  <Override PartName="/xl/charts/colors92.xml" ContentType="application/vnd.ms-office.chartcolorstyle+xml"/>
  <Override PartName="/xl/drawings/drawing83.xml" ContentType="application/vnd.openxmlformats-officedocument.drawingml.chartshapes+xml"/>
  <Override PartName="/xl/charts/chart93.xml" ContentType="application/vnd.openxmlformats-officedocument.drawingml.chart+xml"/>
  <Override PartName="/xl/charts/style93.xml" ContentType="application/vnd.ms-office.chartstyle+xml"/>
  <Override PartName="/xl/charts/colors93.xml" ContentType="application/vnd.ms-office.chartcolorstyle+xml"/>
  <Override PartName="/xl/drawings/drawing84.xml" ContentType="application/vnd.openxmlformats-officedocument.drawing+xml"/>
  <Override PartName="/xl/charts/chart94.xml" ContentType="application/vnd.openxmlformats-officedocument.drawingml.chart+xml"/>
  <Override PartName="/xl/charts/style94.xml" ContentType="application/vnd.ms-office.chartstyle+xml"/>
  <Override PartName="/xl/charts/colors94.xml" ContentType="application/vnd.ms-office.chartcolorstyle+xml"/>
  <Override PartName="/xl/drawings/drawing85.xml" ContentType="application/vnd.openxmlformats-officedocument.drawingml.chartshapes+xml"/>
  <Override PartName="/xl/charts/chart95.xml" ContentType="application/vnd.openxmlformats-officedocument.drawingml.chart+xml"/>
  <Override PartName="/xl/charts/style95.xml" ContentType="application/vnd.ms-office.chartstyle+xml"/>
  <Override PartName="/xl/charts/colors95.xml" ContentType="application/vnd.ms-office.chartcolorstyle+xml"/>
  <Override PartName="/xl/drawings/drawing86.xml" ContentType="application/vnd.openxmlformats-officedocument.drawingml.chartshapes+xml"/>
  <Override PartName="/xl/charts/chart96.xml" ContentType="application/vnd.openxmlformats-officedocument.drawingml.chart+xml"/>
  <Override PartName="/xl/charts/style96.xml" ContentType="application/vnd.ms-office.chartstyle+xml"/>
  <Override PartName="/xl/charts/colors96.xml" ContentType="application/vnd.ms-office.chartcolorstyle+xml"/>
  <Override PartName="/xl/drawings/drawing87.xml" ContentType="application/vnd.openxmlformats-officedocument.drawing+xml"/>
  <Override PartName="/xl/charts/chart97.xml" ContentType="application/vnd.openxmlformats-officedocument.drawingml.chart+xml"/>
  <Override PartName="/xl/charts/style97.xml" ContentType="application/vnd.ms-office.chartstyle+xml"/>
  <Override PartName="/xl/charts/colors97.xml" ContentType="application/vnd.ms-office.chartcolorstyle+xml"/>
  <Override PartName="/xl/drawings/drawing88.xml" ContentType="application/vnd.openxmlformats-officedocument.drawingml.chartshapes+xml"/>
  <Override PartName="/xl/charts/chart98.xml" ContentType="application/vnd.openxmlformats-officedocument.drawingml.chart+xml"/>
  <Override PartName="/xl/charts/style98.xml" ContentType="application/vnd.ms-office.chartstyle+xml"/>
  <Override PartName="/xl/charts/colors98.xml" ContentType="application/vnd.ms-office.chartcolorstyle+xml"/>
  <Override PartName="/xl/charts/chart99.xml" ContentType="application/vnd.openxmlformats-officedocument.drawingml.chart+xml"/>
  <Override PartName="/xl/charts/style99.xml" ContentType="application/vnd.ms-office.chartstyle+xml"/>
  <Override PartName="/xl/charts/colors99.xml" ContentType="application/vnd.ms-office.chartcolorstyle+xml"/>
  <Override PartName="/xl/drawings/drawing89.xml" ContentType="application/vnd.openxmlformats-officedocument.drawingml.chartshapes+xml"/>
  <Override PartName="/xl/drawings/drawing90.xml" ContentType="application/vnd.openxmlformats-officedocument.drawing+xml"/>
  <Override PartName="/xl/charts/chart100.xml" ContentType="application/vnd.openxmlformats-officedocument.drawingml.chart+xml"/>
  <Override PartName="/xl/charts/style100.xml" ContentType="application/vnd.ms-office.chartstyle+xml"/>
  <Override PartName="/xl/charts/colors100.xml" ContentType="application/vnd.ms-office.chartcolorstyle+xml"/>
  <Override PartName="/xl/drawings/drawing91.xml" ContentType="application/vnd.openxmlformats-officedocument.drawingml.chartshapes+xml"/>
  <Override PartName="/xl/charts/chart101.xml" ContentType="application/vnd.openxmlformats-officedocument.drawingml.chart+xml"/>
  <Override PartName="/xl/charts/style101.xml" ContentType="application/vnd.ms-office.chartstyle+xml"/>
  <Override PartName="/xl/charts/colors101.xml" ContentType="application/vnd.ms-office.chartcolorstyle+xml"/>
  <Override PartName="/xl/drawings/drawing92.xml" ContentType="application/vnd.openxmlformats-officedocument.drawingml.chartshapes+xml"/>
  <Override PartName="/xl/charts/chart102.xml" ContentType="application/vnd.openxmlformats-officedocument.drawingml.chart+xml"/>
  <Override PartName="/xl/charts/style102.xml" ContentType="application/vnd.ms-office.chartstyle+xml"/>
  <Override PartName="/xl/charts/colors102.xml" ContentType="application/vnd.ms-office.chartcolorstyle+xml"/>
  <Override PartName="/xl/drawings/drawing93.xml" ContentType="application/vnd.openxmlformats-officedocument.drawing+xml"/>
  <Override PartName="/xl/charts/chart103.xml" ContentType="application/vnd.openxmlformats-officedocument.drawingml.chart+xml"/>
  <Override PartName="/xl/charts/style103.xml" ContentType="application/vnd.ms-office.chartstyle+xml"/>
  <Override PartName="/xl/charts/colors103.xml" ContentType="application/vnd.ms-office.chartcolorstyle+xml"/>
  <Override PartName="/xl/drawings/drawing94.xml" ContentType="application/vnd.openxmlformats-officedocument.drawingml.chartshapes+xml"/>
  <Override PartName="/xl/charts/chart104.xml" ContentType="application/vnd.openxmlformats-officedocument.drawingml.chart+xml"/>
  <Override PartName="/xl/charts/style104.xml" ContentType="application/vnd.ms-office.chartstyle+xml"/>
  <Override PartName="/xl/charts/colors104.xml" ContentType="application/vnd.ms-office.chartcolorstyle+xml"/>
  <Override PartName="/xl/drawings/drawing95.xml" ContentType="application/vnd.openxmlformats-officedocument.drawingml.chartshapes+xml"/>
  <Override PartName="/xl/charts/chart105.xml" ContentType="application/vnd.openxmlformats-officedocument.drawingml.chart+xml"/>
  <Override PartName="/xl/charts/style105.xml" ContentType="application/vnd.ms-office.chartstyle+xml"/>
  <Override PartName="/xl/charts/colors10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rian\Desktop\SIMULARI AMINE_Andrei_Mihailescu\"/>
    </mc:Choice>
  </mc:AlternateContent>
  <bookViews>
    <workbookView xWindow="-108" yWindow="-108" windowWidth="19416" windowHeight="10416" firstSheet="1" activeTab="1"/>
  </bookViews>
  <sheets>
    <sheet name="Compozitie gaze de ardere" sheetId="17" r:id="rId1"/>
    <sheet name="90%" sheetId="39" r:id="rId2"/>
    <sheet name="GRAFICE" sheetId="38" r:id="rId3"/>
    <sheet name="DGA 30%" sheetId="32" r:id="rId4"/>
    <sheet name="MEA 30%" sheetId="3" r:id="rId5"/>
    <sheet name="DEA 30%" sheetId="20" r:id="rId6"/>
    <sheet name="MDEA 30%" sheetId="23" r:id="rId7"/>
    <sheet name="MEA 30% + piperazina" sheetId="36" r:id="rId8"/>
    <sheet name="DGA 20% + MEA 10%" sheetId="34" r:id="rId9"/>
    <sheet name="MEA 20%" sheetId="18" r:id="rId10"/>
    <sheet name="DEA 20%" sheetId="21" r:id="rId11"/>
    <sheet name="MDEA 20%" sheetId="24" r:id="rId12"/>
    <sheet name="MEA 10%" sheetId="19" r:id="rId13"/>
    <sheet name="DEA 10%" sheetId="22" r:id="rId14"/>
    <sheet name="MDEA 10%" sheetId="25" r:id="rId15"/>
    <sheet name="MEA 20%+DEA 10%" sheetId="26" r:id="rId16"/>
    <sheet name="MEA 20% + MDEA 10%" sheetId="27" r:id="rId17"/>
    <sheet name="MEA 10% + DEA 20%" sheetId="28" r:id="rId18"/>
    <sheet name="MEA 10% + MDEA 20%" sheetId="29" r:id="rId19"/>
    <sheet name="DEA 10% + MDEA 20%" sheetId="30" r:id="rId20"/>
    <sheet name="DEA 20% + MDEA 10%" sheetId="31" r:id="rId21"/>
    <sheet name="MEA 10% + DEA 10% + MDEA 10%" sheetId="37" r:id="rId2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24" i="39" l="1"/>
  <c r="T22" i="39"/>
  <c r="T23" i="39" s="1"/>
  <c r="T16" i="39"/>
  <c r="T12" i="39"/>
  <c r="T6" i="39"/>
  <c r="T7" i="39" s="1"/>
  <c r="S24" i="39"/>
  <c r="S23" i="39"/>
  <c r="S22" i="39"/>
  <c r="S18" i="39"/>
  <c r="S16" i="39"/>
  <c r="S12" i="39"/>
  <c r="S7" i="39"/>
  <c r="S6" i="39"/>
  <c r="R24" i="39"/>
  <c r="R23" i="39"/>
  <c r="R22" i="39"/>
  <c r="R18" i="39"/>
  <c r="R16" i="39"/>
  <c r="R12" i="39"/>
  <c r="R6" i="39"/>
  <c r="R7" i="39" s="1"/>
  <c r="Q24" i="39"/>
  <c r="Q23" i="39"/>
  <c r="Q22" i="39"/>
  <c r="Q16" i="39"/>
  <c r="Q12" i="39"/>
  <c r="Q7" i="39"/>
  <c r="Q6" i="39"/>
  <c r="P24" i="39"/>
  <c r="P21" i="39"/>
  <c r="P16" i="39"/>
  <c r="P15" i="39"/>
  <c r="P12" i="39"/>
  <c r="P6" i="39"/>
  <c r="P7" i="39" s="1"/>
  <c r="O24" i="39"/>
  <c r="O22" i="39"/>
  <c r="O23" i="39" s="1"/>
  <c r="O18" i="39"/>
  <c r="O16" i="39"/>
  <c r="O12" i="39"/>
  <c r="O6" i="39"/>
  <c r="O7" i="39" s="1"/>
  <c r="N24" i="39"/>
  <c r="N22" i="39"/>
  <c r="N23" i="39" s="1"/>
  <c r="N18" i="39"/>
  <c r="N16" i="39"/>
  <c r="N12" i="39"/>
  <c r="N6" i="39"/>
  <c r="N7" i="39" s="1"/>
  <c r="M24" i="39"/>
  <c r="M22" i="39"/>
  <c r="M23" i="39" s="1"/>
  <c r="M16" i="39"/>
  <c r="M12" i="39"/>
  <c r="M6" i="39"/>
  <c r="M7" i="39" s="1"/>
  <c r="L24" i="39"/>
  <c r="L22" i="39"/>
  <c r="L23" i="39" s="1"/>
  <c r="L18" i="39"/>
  <c r="L16" i="39"/>
  <c r="L12" i="39"/>
  <c r="L6" i="39"/>
  <c r="L8" i="39" s="1"/>
  <c r="K24" i="39"/>
  <c r="K22" i="39"/>
  <c r="K23" i="39" s="1"/>
  <c r="K16" i="39"/>
  <c r="K12" i="39"/>
  <c r="K6" i="39"/>
  <c r="K7" i="39" s="1"/>
  <c r="J24" i="39"/>
  <c r="J22" i="39"/>
  <c r="J23" i="39" s="1"/>
  <c r="J16" i="39"/>
  <c r="J12" i="39"/>
  <c r="J6" i="39"/>
  <c r="J7" i="39" s="1"/>
  <c r="I24" i="39"/>
  <c r="I21" i="39"/>
  <c r="I16" i="39"/>
  <c r="I15" i="39"/>
  <c r="I12" i="39"/>
  <c r="I6" i="39"/>
  <c r="I7" i="39" s="1"/>
  <c r="I22" i="39" l="1"/>
  <c r="I23" i="39" s="1"/>
  <c r="P22" i="39"/>
  <c r="P23" i="39" s="1"/>
  <c r="T24" i="37"/>
  <c r="S24" i="37"/>
  <c r="R24" i="37"/>
  <c r="Q24" i="37"/>
  <c r="P24" i="37"/>
  <c r="O24" i="37"/>
  <c r="N24" i="37"/>
  <c r="M24" i="37"/>
  <c r="L24" i="37"/>
  <c r="K24" i="37"/>
  <c r="J24" i="37"/>
  <c r="I24" i="37"/>
  <c r="H24" i="37"/>
  <c r="G24" i="37"/>
  <c r="F24" i="37"/>
  <c r="E24" i="37"/>
  <c r="D24" i="37"/>
  <c r="C24" i="37"/>
  <c r="T23" i="37"/>
  <c r="S23" i="37"/>
  <c r="R23" i="37"/>
  <c r="Q23" i="37"/>
  <c r="P23" i="37"/>
  <c r="O23" i="37"/>
  <c r="N23" i="37"/>
  <c r="M23" i="37"/>
  <c r="L23" i="37"/>
  <c r="K23" i="37"/>
  <c r="J23" i="37"/>
  <c r="I23" i="37"/>
  <c r="H23" i="37"/>
  <c r="G23" i="37"/>
  <c r="F23" i="37"/>
  <c r="E23" i="37"/>
  <c r="D23" i="37"/>
  <c r="C23" i="37"/>
  <c r="T22" i="37"/>
  <c r="S22" i="37"/>
  <c r="R22" i="37"/>
  <c r="Q22" i="37"/>
  <c r="P22" i="37"/>
  <c r="O22" i="37"/>
  <c r="N22" i="37"/>
  <c r="M22" i="37"/>
  <c r="L22" i="37"/>
  <c r="K22" i="37"/>
  <c r="J22" i="37"/>
  <c r="I22" i="37"/>
  <c r="H22" i="37"/>
  <c r="G22" i="37"/>
  <c r="F22" i="37"/>
  <c r="E22" i="37"/>
  <c r="D22" i="37"/>
  <c r="C22" i="37"/>
  <c r="T21" i="37"/>
  <c r="S21" i="37"/>
  <c r="R21" i="37"/>
  <c r="Q21" i="37"/>
  <c r="P21" i="37"/>
  <c r="O21" i="37"/>
  <c r="N21" i="37"/>
  <c r="M21" i="37"/>
  <c r="L21" i="37"/>
  <c r="K21" i="37"/>
  <c r="J21" i="37"/>
  <c r="I21" i="37"/>
  <c r="H21" i="37"/>
  <c r="G21" i="37"/>
  <c r="F21" i="37"/>
  <c r="E21" i="37"/>
  <c r="D21" i="37"/>
  <c r="C21" i="37"/>
  <c r="T16" i="37"/>
  <c r="S16" i="37"/>
  <c r="R16" i="37"/>
  <c r="Q16" i="37"/>
  <c r="P16" i="37"/>
  <c r="O16" i="37"/>
  <c r="N16" i="37"/>
  <c r="M16" i="37"/>
  <c r="L16" i="37"/>
  <c r="K16" i="37"/>
  <c r="J16" i="37"/>
  <c r="I16" i="37"/>
  <c r="H16" i="37"/>
  <c r="G16" i="37"/>
  <c r="F16" i="37"/>
  <c r="E16" i="37"/>
  <c r="D16" i="37"/>
  <c r="C16" i="37"/>
  <c r="T15" i="37"/>
  <c r="S15" i="37"/>
  <c r="R15" i="37"/>
  <c r="Q15" i="37"/>
  <c r="P15" i="37"/>
  <c r="O15" i="37"/>
  <c r="N15" i="37"/>
  <c r="M15" i="37"/>
  <c r="L15" i="37"/>
  <c r="K15" i="37"/>
  <c r="J15" i="37"/>
  <c r="I15" i="37"/>
  <c r="H15" i="37"/>
  <c r="G15" i="37"/>
  <c r="F15" i="37"/>
  <c r="E15" i="37"/>
  <c r="D15" i="37"/>
  <c r="C15" i="37"/>
  <c r="T12" i="37"/>
  <c r="S12" i="37"/>
  <c r="R12" i="37"/>
  <c r="Q12" i="37"/>
  <c r="P12" i="37"/>
  <c r="O12" i="37"/>
  <c r="N12" i="37"/>
  <c r="M12" i="37"/>
  <c r="L12" i="37"/>
  <c r="K12" i="37"/>
  <c r="J12" i="37"/>
  <c r="I12" i="37"/>
  <c r="H12" i="37"/>
  <c r="G12" i="37"/>
  <c r="F12" i="37"/>
  <c r="E12" i="37"/>
  <c r="D12" i="37"/>
  <c r="C12" i="37"/>
  <c r="T7" i="37"/>
  <c r="S7" i="37"/>
  <c r="R7" i="37"/>
  <c r="Q7" i="37"/>
  <c r="P7" i="37"/>
  <c r="O7" i="37"/>
  <c r="N7" i="37"/>
  <c r="M7" i="37"/>
  <c r="L7" i="37"/>
  <c r="K7" i="37"/>
  <c r="J7" i="37"/>
  <c r="I7" i="37"/>
  <c r="H7" i="37"/>
  <c r="G7" i="37"/>
  <c r="F7" i="37"/>
  <c r="E7" i="37"/>
  <c r="D7" i="37"/>
  <c r="C7" i="37"/>
  <c r="T6" i="37"/>
  <c r="S6" i="37"/>
  <c r="R6" i="37"/>
  <c r="Q6" i="37"/>
  <c r="P6" i="37"/>
  <c r="O6" i="37"/>
  <c r="N6" i="37"/>
  <c r="M6" i="37"/>
  <c r="L6" i="37"/>
  <c r="K6" i="37"/>
  <c r="J6" i="37"/>
  <c r="I6" i="37"/>
  <c r="H6" i="37"/>
  <c r="G6" i="37"/>
  <c r="F6" i="37"/>
  <c r="E6" i="37"/>
  <c r="D6" i="37"/>
  <c r="C6" i="37"/>
  <c r="T24" i="31"/>
  <c r="S24" i="31"/>
  <c r="R24" i="31"/>
  <c r="Q24" i="31"/>
  <c r="P24" i="31"/>
  <c r="O24" i="31"/>
  <c r="N24" i="31"/>
  <c r="M24" i="31"/>
  <c r="L24" i="31"/>
  <c r="K24" i="31"/>
  <c r="J24" i="31"/>
  <c r="I24" i="31"/>
  <c r="H24" i="31"/>
  <c r="G24" i="31"/>
  <c r="F24" i="31"/>
  <c r="E24" i="31"/>
  <c r="D24" i="31"/>
  <c r="C24" i="31"/>
  <c r="T23" i="31"/>
  <c r="S23" i="31"/>
  <c r="R23" i="31"/>
  <c r="Q23" i="31"/>
  <c r="P23" i="31"/>
  <c r="O23" i="31"/>
  <c r="N23" i="31"/>
  <c r="M23" i="31"/>
  <c r="L23" i="31"/>
  <c r="K23" i="31"/>
  <c r="J23" i="31"/>
  <c r="I23" i="31"/>
  <c r="H23" i="31"/>
  <c r="G23" i="31"/>
  <c r="F23" i="31"/>
  <c r="E23" i="31"/>
  <c r="D23" i="31"/>
  <c r="C23" i="31"/>
  <c r="T22" i="31"/>
  <c r="S22" i="31"/>
  <c r="R22" i="31"/>
  <c r="Q22" i="31"/>
  <c r="P22" i="31"/>
  <c r="O22" i="31"/>
  <c r="N22" i="31"/>
  <c r="M22" i="31"/>
  <c r="L22" i="31"/>
  <c r="K22" i="31"/>
  <c r="J22" i="31"/>
  <c r="I22" i="31"/>
  <c r="H22" i="31"/>
  <c r="G22" i="31"/>
  <c r="F22" i="31"/>
  <c r="E22" i="31"/>
  <c r="D22" i="31"/>
  <c r="C22" i="31"/>
  <c r="T21" i="31"/>
  <c r="S21" i="31"/>
  <c r="R21" i="31"/>
  <c r="Q21" i="31"/>
  <c r="P21" i="31"/>
  <c r="O21" i="31"/>
  <c r="N21" i="31"/>
  <c r="M21" i="31"/>
  <c r="L21" i="31"/>
  <c r="K21" i="31"/>
  <c r="J21" i="31"/>
  <c r="I21" i="31"/>
  <c r="H21" i="31"/>
  <c r="G21" i="31"/>
  <c r="F21" i="31"/>
  <c r="E21" i="31"/>
  <c r="D21" i="31"/>
  <c r="C21" i="31"/>
  <c r="T16" i="31"/>
  <c r="S16" i="31"/>
  <c r="R16" i="31"/>
  <c r="Q16" i="31"/>
  <c r="P16" i="31"/>
  <c r="O16" i="31"/>
  <c r="N16" i="31"/>
  <c r="M16" i="31"/>
  <c r="L16" i="31"/>
  <c r="K16" i="31"/>
  <c r="J16" i="31"/>
  <c r="I16" i="31"/>
  <c r="H16" i="31"/>
  <c r="G16" i="31"/>
  <c r="F16" i="31"/>
  <c r="E16" i="31"/>
  <c r="D16" i="31"/>
  <c r="C16" i="31"/>
  <c r="T15" i="31"/>
  <c r="S15" i="31"/>
  <c r="R15" i="31"/>
  <c r="Q15" i="31"/>
  <c r="P15" i="31"/>
  <c r="O15" i="31"/>
  <c r="N15" i="31"/>
  <c r="M15" i="31"/>
  <c r="L15" i="31"/>
  <c r="K15" i="31"/>
  <c r="J15" i="31"/>
  <c r="I15" i="31"/>
  <c r="H15" i="31"/>
  <c r="G15" i="31"/>
  <c r="F15" i="31"/>
  <c r="E15" i="31"/>
  <c r="D15" i="31"/>
  <c r="C15" i="31"/>
  <c r="T12" i="31"/>
  <c r="S12" i="31"/>
  <c r="R12" i="31"/>
  <c r="Q12" i="31"/>
  <c r="P12" i="31"/>
  <c r="O12" i="31"/>
  <c r="N12" i="31"/>
  <c r="M12" i="31"/>
  <c r="L12" i="31"/>
  <c r="K12" i="31"/>
  <c r="J12" i="31"/>
  <c r="I12" i="31"/>
  <c r="H12" i="31"/>
  <c r="G12" i="31"/>
  <c r="F12" i="31"/>
  <c r="E12" i="31"/>
  <c r="D12" i="31"/>
  <c r="C12" i="31"/>
  <c r="T7" i="31"/>
  <c r="S7" i="31"/>
  <c r="R7" i="31"/>
  <c r="Q7" i="31"/>
  <c r="P7" i="31"/>
  <c r="O7" i="31"/>
  <c r="N7" i="31"/>
  <c r="M7" i="31"/>
  <c r="L7" i="31"/>
  <c r="K7" i="31"/>
  <c r="J7" i="31"/>
  <c r="I7" i="31"/>
  <c r="H7" i="31"/>
  <c r="G7" i="31"/>
  <c r="F7" i="31"/>
  <c r="E7" i="31"/>
  <c r="D7" i="31"/>
  <c r="C7" i="31"/>
  <c r="T6" i="31"/>
  <c r="S6" i="31"/>
  <c r="R6" i="31"/>
  <c r="Q6" i="31"/>
  <c r="P6" i="31"/>
  <c r="O6" i="31"/>
  <c r="N6" i="31"/>
  <c r="M6" i="31"/>
  <c r="L6" i="31"/>
  <c r="K6" i="31"/>
  <c r="J6" i="31"/>
  <c r="I6" i="31"/>
  <c r="H6" i="31"/>
  <c r="G6" i="31"/>
  <c r="F6" i="31"/>
  <c r="E6" i="31"/>
  <c r="D6" i="31"/>
  <c r="C6" i="31"/>
  <c r="Y24" i="30"/>
  <c r="X24" i="30"/>
  <c r="W24" i="30"/>
  <c r="V24" i="30"/>
  <c r="U24" i="30"/>
  <c r="T24" i="30"/>
  <c r="S24" i="30"/>
  <c r="R24" i="30"/>
  <c r="Q24" i="30"/>
  <c r="P24" i="30"/>
  <c r="O24" i="30"/>
  <c r="N24" i="30"/>
  <c r="M24" i="30"/>
  <c r="L24" i="30"/>
  <c r="K24" i="30"/>
  <c r="J24" i="30"/>
  <c r="I24" i="30"/>
  <c r="H24" i="30"/>
  <c r="G24" i="30"/>
  <c r="F24" i="30"/>
  <c r="E24" i="30"/>
  <c r="D24" i="30"/>
  <c r="C24" i="30"/>
  <c r="Y23" i="30"/>
  <c r="X23" i="30"/>
  <c r="W23" i="30"/>
  <c r="V23" i="30"/>
  <c r="U23" i="30"/>
  <c r="T23" i="30"/>
  <c r="S23" i="30"/>
  <c r="R23" i="30"/>
  <c r="Q23" i="30"/>
  <c r="P23" i="30"/>
  <c r="O23" i="30"/>
  <c r="N23" i="30"/>
  <c r="M23" i="30"/>
  <c r="L23" i="30"/>
  <c r="K23" i="30"/>
  <c r="J23" i="30"/>
  <c r="I23" i="30"/>
  <c r="H23" i="30"/>
  <c r="G23" i="30"/>
  <c r="F23" i="30"/>
  <c r="E23" i="30"/>
  <c r="D23" i="30"/>
  <c r="C23" i="30"/>
  <c r="Y22" i="30"/>
  <c r="X22" i="30"/>
  <c r="W22" i="30"/>
  <c r="V22" i="30"/>
  <c r="U22" i="30"/>
  <c r="T22" i="30"/>
  <c r="S22" i="30"/>
  <c r="R22" i="30"/>
  <c r="Q22" i="30"/>
  <c r="P22" i="30"/>
  <c r="O22" i="30"/>
  <c r="N22" i="30"/>
  <c r="M22" i="30"/>
  <c r="L22" i="30"/>
  <c r="K22" i="30"/>
  <c r="J22" i="30"/>
  <c r="I22" i="30"/>
  <c r="H22" i="30"/>
  <c r="G22" i="30"/>
  <c r="F22" i="30"/>
  <c r="E22" i="30"/>
  <c r="D22" i="30"/>
  <c r="C22" i="30"/>
  <c r="Y21" i="30"/>
  <c r="X21" i="30"/>
  <c r="W21" i="30"/>
  <c r="V21" i="30"/>
  <c r="U21" i="30"/>
  <c r="T21" i="30"/>
  <c r="S21" i="30"/>
  <c r="R21" i="30"/>
  <c r="Q21" i="30"/>
  <c r="P21" i="30"/>
  <c r="O21" i="30"/>
  <c r="N21" i="30"/>
  <c r="M21" i="30"/>
  <c r="L21" i="30"/>
  <c r="K21" i="30"/>
  <c r="J21" i="30"/>
  <c r="I21" i="30"/>
  <c r="H21" i="30"/>
  <c r="G21" i="30"/>
  <c r="F21" i="30"/>
  <c r="E21" i="30"/>
  <c r="D21" i="30"/>
  <c r="C21" i="30"/>
  <c r="Y16" i="30"/>
  <c r="X16" i="30"/>
  <c r="W16" i="30"/>
  <c r="V16" i="30"/>
  <c r="U16" i="30"/>
  <c r="T16" i="30"/>
  <c r="S16" i="30"/>
  <c r="R16" i="30"/>
  <c r="Q16" i="30"/>
  <c r="P16" i="30"/>
  <c r="O16" i="30"/>
  <c r="N16" i="30"/>
  <c r="M16" i="30"/>
  <c r="L16" i="30"/>
  <c r="K16" i="30"/>
  <c r="J16" i="30"/>
  <c r="I16" i="30"/>
  <c r="H16" i="30"/>
  <c r="G16" i="30"/>
  <c r="F16" i="30"/>
  <c r="E16" i="30"/>
  <c r="D16" i="30"/>
  <c r="C16" i="30"/>
  <c r="Y15" i="30"/>
  <c r="X15" i="30"/>
  <c r="W15" i="30"/>
  <c r="V15" i="30"/>
  <c r="U15" i="30"/>
  <c r="T15" i="30"/>
  <c r="S15" i="30"/>
  <c r="R15" i="30"/>
  <c r="Q15" i="30"/>
  <c r="P15" i="30"/>
  <c r="O15" i="30"/>
  <c r="N15" i="30"/>
  <c r="M15" i="30"/>
  <c r="L15" i="30"/>
  <c r="K15" i="30"/>
  <c r="J15" i="30"/>
  <c r="I15" i="30"/>
  <c r="H15" i="30"/>
  <c r="G15" i="30"/>
  <c r="F15" i="30"/>
  <c r="E15" i="30"/>
  <c r="D15" i="30"/>
  <c r="C15" i="30"/>
  <c r="Y12" i="30"/>
  <c r="X12" i="30"/>
  <c r="W12" i="30"/>
  <c r="V12" i="30"/>
  <c r="U12" i="30"/>
  <c r="T12" i="30"/>
  <c r="S12" i="30"/>
  <c r="R12" i="30"/>
  <c r="Q12" i="30"/>
  <c r="P12" i="30"/>
  <c r="O12" i="30"/>
  <c r="N12" i="30"/>
  <c r="M12" i="30"/>
  <c r="L12" i="30"/>
  <c r="K12" i="30"/>
  <c r="J12" i="30"/>
  <c r="I12" i="30"/>
  <c r="H12" i="30"/>
  <c r="G12" i="30"/>
  <c r="F12" i="30"/>
  <c r="E12" i="30"/>
  <c r="D12" i="30"/>
  <c r="C12" i="30"/>
  <c r="Y7" i="30"/>
  <c r="X7" i="30"/>
  <c r="W7" i="30"/>
  <c r="V7" i="30"/>
  <c r="U7" i="30"/>
  <c r="T7" i="30"/>
  <c r="S7" i="30"/>
  <c r="R7" i="30"/>
  <c r="Q7" i="30"/>
  <c r="P7" i="30"/>
  <c r="O7" i="30"/>
  <c r="N7" i="30"/>
  <c r="M7" i="30"/>
  <c r="L7" i="30"/>
  <c r="K7" i="30"/>
  <c r="J7" i="30"/>
  <c r="I7" i="30"/>
  <c r="H7" i="30"/>
  <c r="G7" i="30"/>
  <c r="F7" i="30"/>
  <c r="E7" i="30"/>
  <c r="D7" i="30"/>
  <c r="C7" i="30"/>
  <c r="Y6" i="30"/>
  <c r="X6" i="30"/>
  <c r="W6" i="30"/>
  <c r="V6" i="30"/>
  <c r="U6" i="30"/>
  <c r="T6" i="30"/>
  <c r="S6" i="30"/>
  <c r="R6" i="30"/>
  <c r="Q6" i="30"/>
  <c r="P6" i="30"/>
  <c r="O6" i="30"/>
  <c r="N6" i="30"/>
  <c r="M6" i="30"/>
  <c r="L6" i="30"/>
  <c r="K6" i="30"/>
  <c r="J6" i="30"/>
  <c r="I6" i="30"/>
  <c r="H6" i="30"/>
  <c r="G6" i="30"/>
  <c r="F6" i="30"/>
  <c r="E6" i="30"/>
  <c r="D6" i="30"/>
  <c r="C6" i="30"/>
  <c r="Y24" i="29"/>
  <c r="X24" i="29"/>
  <c r="W24" i="29"/>
  <c r="V24" i="29"/>
  <c r="U24" i="29"/>
  <c r="T24" i="29"/>
  <c r="S24" i="29"/>
  <c r="R24" i="29"/>
  <c r="Q24" i="29"/>
  <c r="P24" i="29"/>
  <c r="O24" i="29"/>
  <c r="N24" i="29"/>
  <c r="M24" i="29"/>
  <c r="L24" i="29"/>
  <c r="K24" i="29"/>
  <c r="J24" i="29"/>
  <c r="I24" i="29"/>
  <c r="H24" i="29"/>
  <c r="G24" i="29"/>
  <c r="F24" i="29"/>
  <c r="E24" i="29"/>
  <c r="D24" i="29"/>
  <c r="C24" i="29"/>
  <c r="Y23" i="29"/>
  <c r="X23" i="29"/>
  <c r="W23" i="29"/>
  <c r="V23" i="29"/>
  <c r="U23" i="29"/>
  <c r="T23" i="29"/>
  <c r="S23" i="29"/>
  <c r="R23" i="29"/>
  <c r="Q23" i="29"/>
  <c r="P23" i="29"/>
  <c r="O23" i="29"/>
  <c r="N23" i="29"/>
  <c r="M23" i="29"/>
  <c r="L23" i="29"/>
  <c r="K23" i="29"/>
  <c r="J23" i="29"/>
  <c r="I23" i="29"/>
  <c r="H23" i="29"/>
  <c r="G23" i="29"/>
  <c r="F23" i="29"/>
  <c r="E23" i="29"/>
  <c r="D23" i="29"/>
  <c r="C23" i="29"/>
  <c r="Y22" i="29"/>
  <c r="X22" i="29"/>
  <c r="W22" i="29"/>
  <c r="V22" i="29"/>
  <c r="U22" i="29"/>
  <c r="T22" i="29"/>
  <c r="S22" i="29"/>
  <c r="R22" i="29"/>
  <c r="Q22" i="29"/>
  <c r="P22" i="29"/>
  <c r="O22" i="29"/>
  <c r="N22" i="29"/>
  <c r="M22" i="29"/>
  <c r="L22" i="29"/>
  <c r="K22" i="29"/>
  <c r="J22" i="29"/>
  <c r="I22" i="29"/>
  <c r="H22" i="29"/>
  <c r="G22" i="29"/>
  <c r="F22" i="29"/>
  <c r="E22" i="29"/>
  <c r="D22" i="29"/>
  <c r="C22" i="29"/>
  <c r="Y21" i="29"/>
  <c r="X21" i="29"/>
  <c r="W21" i="29"/>
  <c r="V21" i="29"/>
  <c r="U21" i="29"/>
  <c r="T21" i="29"/>
  <c r="S21" i="29"/>
  <c r="R21" i="29"/>
  <c r="Q21" i="29"/>
  <c r="P21" i="29"/>
  <c r="O21" i="29"/>
  <c r="N21" i="29"/>
  <c r="M21" i="29"/>
  <c r="L21" i="29"/>
  <c r="K21" i="29"/>
  <c r="J21" i="29"/>
  <c r="I21" i="29"/>
  <c r="H21" i="29"/>
  <c r="G21" i="29"/>
  <c r="F21" i="29"/>
  <c r="E21" i="29"/>
  <c r="D21" i="29"/>
  <c r="C21" i="29"/>
  <c r="Y16" i="29"/>
  <c r="X16" i="29"/>
  <c r="W16" i="29"/>
  <c r="V16" i="29"/>
  <c r="U16" i="29"/>
  <c r="T16" i="29"/>
  <c r="S16" i="29"/>
  <c r="R16" i="29"/>
  <c r="Q16" i="29"/>
  <c r="P16" i="29"/>
  <c r="O16" i="29"/>
  <c r="N16" i="29"/>
  <c r="M16" i="29"/>
  <c r="L16" i="29"/>
  <c r="K16" i="29"/>
  <c r="J16" i="29"/>
  <c r="I16" i="29"/>
  <c r="H16" i="29"/>
  <c r="G16" i="29"/>
  <c r="F16" i="29"/>
  <c r="E16" i="29"/>
  <c r="D16" i="29"/>
  <c r="C16" i="29"/>
  <c r="Y15" i="29"/>
  <c r="X15" i="29"/>
  <c r="W15" i="29"/>
  <c r="V15" i="29"/>
  <c r="U15" i="29"/>
  <c r="T15" i="29"/>
  <c r="S15" i="29"/>
  <c r="R15" i="29"/>
  <c r="Q15" i="29"/>
  <c r="P15" i="29"/>
  <c r="O15" i="29"/>
  <c r="N15" i="29"/>
  <c r="M15" i="29"/>
  <c r="L15" i="29"/>
  <c r="K15" i="29"/>
  <c r="J15" i="29"/>
  <c r="I15" i="29"/>
  <c r="H15" i="29"/>
  <c r="G15" i="29"/>
  <c r="F15" i="29"/>
  <c r="E15" i="29"/>
  <c r="D15" i="29"/>
  <c r="C15" i="29"/>
  <c r="Y12" i="29"/>
  <c r="X12" i="29"/>
  <c r="W12" i="29"/>
  <c r="V12" i="29"/>
  <c r="U12" i="29"/>
  <c r="T12" i="29"/>
  <c r="S12" i="29"/>
  <c r="R12" i="29"/>
  <c r="Q12" i="29"/>
  <c r="P12" i="29"/>
  <c r="O12" i="29"/>
  <c r="N12" i="29"/>
  <c r="M12" i="29"/>
  <c r="L12" i="29"/>
  <c r="K12" i="29"/>
  <c r="J12" i="29"/>
  <c r="I12" i="29"/>
  <c r="H12" i="29"/>
  <c r="G12" i="29"/>
  <c r="F12" i="29"/>
  <c r="E12" i="29"/>
  <c r="D12" i="29"/>
  <c r="C12" i="29"/>
  <c r="Y7" i="29"/>
  <c r="X7" i="29"/>
  <c r="W7" i="29"/>
  <c r="V7" i="29"/>
  <c r="U7" i="29"/>
  <c r="T7" i="29"/>
  <c r="S7" i="29"/>
  <c r="R7" i="29"/>
  <c r="Q7" i="29"/>
  <c r="P7" i="29"/>
  <c r="O7" i="29"/>
  <c r="N7" i="29"/>
  <c r="M7" i="29"/>
  <c r="L7" i="29"/>
  <c r="K7" i="29"/>
  <c r="J7" i="29"/>
  <c r="I7" i="29"/>
  <c r="H7" i="29"/>
  <c r="G7" i="29"/>
  <c r="F7" i="29"/>
  <c r="E7" i="29"/>
  <c r="D7" i="29"/>
  <c r="C7" i="29"/>
  <c r="Y6" i="29"/>
  <c r="X6" i="29"/>
  <c r="W6" i="29"/>
  <c r="V6" i="29"/>
  <c r="U6" i="29"/>
  <c r="T6" i="29"/>
  <c r="S6" i="29"/>
  <c r="R6" i="29"/>
  <c r="Q6" i="29"/>
  <c r="P6" i="29"/>
  <c r="O6" i="29"/>
  <c r="N6" i="29"/>
  <c r="M6" i="29"/>
  <c r="L6" i="29"/>
  <c r="K6" i="29"/>
  <c r="J6" i="29"/>
  <c r="I6" i="29"/>
  <c r="H6" i="29"/>
  <c r="G6" i="29"/>
  <c r="F6" i="29"/>
  <c r="E6" i="29"/>
  <c r="D6" i="29"/>
  <c r="C6" i="29"/>
  <c r="R24" i="28"/>
  <c r="Q24" i="28"/>
  <c r="P24" i="28"/>
  <c r="O24" i="28"/>
  <c r="N24" i="28"/>
  <c r="M24" i="28"/>
  <c r="L24" i="28"/>
  <c r="K24" i="28"/>
  <c r="J24" i="28"/>
  <c r="I24" i="28"/>
  <c r="H24" i="28"/>
  <c r="G24" i="28"/>
  <c r="F24" i="28"/>
  <c r="E24" i="28"/>
  <c r="D24" i="28"/>
  <c r="C24" i="28"/>
  <c r="R23" i="28"/>
  <c r="Q23" i="28"/>
  <c r="P23" i="28"/>
  <c r="O23" i="28"/>
  <c r="N23" i="28"/>
  <c r="M23" i="28"/>
  <c r="L23" i="28"/>
  <c r="K23" i="28"/>
  <c r="J23" i="28"/>
  <c r="I23" i="28"/>
  <c r="H23" i="28"/>
  <c r="G23" i="28"/>
  <c r="F23" i="28"/>
  <c r="E23" i="28"/>
  <c r="D23" i="28"/>
  <c r="C23" i="28"/>
  <c r="R22" i="28"/>
  <c r="Q22" i="28"/>
  <c r="P22" i="28"/>
  <c r="O22" i="28"/>
  <c r="N22" i="28"/>
  <c r="M22" i="28"/>
  <c r="L22" i="28"/>
  <c r="K22" i="28"/>
  <c r="J22" i="28"/>
  <c r="I22" i="28"/>
  <c r="H22" i="28"/>
  <c r="G22" i="28"/>
  <c r="F22" i="28"/>
  <c r="E22" i="28"/>
  <c r="D22" i="28"/>
  <c r="C22" i="28"/>
  <c r="R21" i="28"/>
  <c r="Q21" i="28"/>
  <c r="P21" i="28"/>
  <c r="O21" i="28"/>
  <c r="N21" i="28"/>
  <c r="M21" i="28"/>
  <c r="L21" i="28"/>
  <c r="K21" i="28"/>
  <c r="J21" i="28"/>
  <c r="I21" i="28"/>
  <c r="H21" i="28"/>
  <c r="G21" i="28"/>
  <c r="F21" i="28"/>
  <c r="E21" i="28"/>
  <c r="D21" i="28"/>
  <c r="C21" i="28"/>
  <c r="R16" i="28"/>
  <c r="Q16" i="28"/>
  <c r="P16" i="28"/>
  <c r="O16" i="28"/>
  <c r="N16" i="28"/>
  <c r="M16" i="28"/>
  <c r="L16" i="28"/>
  <c r="K16" i="28"/>
  <c r="J16" i="28"/>
  <c r="I16" i="28"/>
  <c r="H16" i="28"/>
  <c r="G16" i="28"/>
  <c r="F16" i="28"/>
  <c r="E16" i="28"/>
  <c r="D16" i="28"/>
  <c r="C16" i="28"/>
  <c r="R15" i="28"/>
  <c r="Q15" i="28"/>
  <c r="P15" i="28"/>
  <c r="O15" i="28"/>
  <c r="N15" i="28"/>
  <c r="M15" i="28"/>
  <c r="L15" i="28"/>
  <c r="K15" i="28"/>
  <c r="J15" i="28"/>
  <c r="I15" i="28"/>
  <c r="H15" i="28"/>
  <c r="G15" i="28"/>
  <c r="F15" i="28"/>
  <c r="E15" i="28"/>
  <c r="D15" i="28"/>
  <c r="C15" i="28"/>
  <c r="R12" i="28"/>
  <c r="Q12" i="28"/>
  <c r="P12" i="28"/>
  <c r="O12" i="28"/>
  <c r="N12" i="28"/>
  <c r="M12" i="28"/>
  <c r="L12" i="28"/>
  <c r="K12" i="28"/>
  <c r="J12" i="28"/>
  <c r="I12" i="28"/>
  <c r="H12" i="28"/>
  <c r="G12" i="28"/>
  <c r="F12" i="28"/>
  <c r="E12" i="28"/>
  <c r="D12" i="28"/>
  <c r="C12" i="28"/>
  <c r="R7" i="28"/>
  <c r="Q7" i="28"/>
  <c r="P7" i="28"/>
  <c r="O7" i="28"/>
  <c r="N7" i="28"/>
  <c r="M7" i="28"/>
  <c r="L7" i="28"/>
  <c r="K7" i="28"/>
  <c r="J7" i="28"/>
  <c r="I7" i="28"/>
  <c r="H7" i="28"/>
  <c r="G7" i="28"/>
  <c r="F7" i="28"/>
  <c r="E7" i="28"/>
  <c r="D7" i="28"/>
  <c r="C7" i="28"/>
  <c r="R6" i="28"/>
  <c r="Q6" i="28"/>
  <c r="P6" i="28"/>
  <c r="O6" i="28"/>
  <c r="N6" i="28"/>
  <c r="M6" i="28"/>
  <c r="L6" i="28"/>
  <c r="K6" i="28"/>
  <c r="J6" i="28"/>
  <c r="I6" i="28"/>
  <c r="H6" i="28"/>
  <c r="G6" i="28"/>
  <c r="F6" i="28"/>
  <c r="E6" i="28"/>
  <c r="D6" i="28"/>
  <c r="C6" i="28"/>
  <c r="H24" i="39"/>
  <c r="G24" i="39"/>
  <c r="F24" i="39"/>
  <c r="E24" i="39"/>
  <c r="D24" i="39"/>
  <c r="C24" i="39"/>
  <c r="H21" i="39"/>
  <c r="G21" i="39"/>
  <c r="F21" i="39"/>
  <c r="E21" i="39"/>
  <c r="E22" i="39" s="1"/>
  <c r="E23" i="39" s="1"/>
  <c r="D21" i="39"/>
  <c r="C21" i="39"/>
  <c r="H16" i="39"/>
  <c r="G16" i="39"/>
  <c r="F16" i="39"/>
  <c r="E16" i="39"/>
  <c r="D16" i="39"/>
  <c r="C16" i="39"/>
  <c r="H15" i="39"/>
  <c r="G15" i="39"/>
  <c r="F15" i="39"/>
  <c r="E15" i="39"/>
  <c r="D15" i="39"/>
  <c r="C15" i="39"/>
  <c r="H12" i="39"/>
  <c r="G12" i="39"/>
  <c r="F12" i="39"/>
  <c r="E12" i="39"/>
  <c r="D12" i="39"/>
  <c r="C12" i="39"/>
  <c r="H6" i="39"/>
  <c r="H7" i="39" s="1"/>
  <c r="G6" i="39"/>
  <c r="G7" i="39" s="1"/>
  <c r="F6" i="39"/>
  <c r="F7" i="39" s="1"/>
  <c r="E6" i="39"/>
  <c r="E7" i="39" s="1"/>
  <c r="D6" i="39"/>
  <c r="D7" i="39" s="1"/>
  <c r="C6" i="39"/>
  <c r="C7" i="39" s="1"/>
  <c r="P24" i="27"/>
  <c r="O24" i="27"/>
  <c r="N24" i="27"/>
  <c r="M24" i="27"/>
  <c r="L24" i="27"/>
  <c r="K24" i="27"/>
  <c r="J24" i="27"/>
  <c r="I24" i="27"/>
  <c r="H24" i="27"/>
  <c r="G24" i="27"/>
  <c r="F24" i="27"/>
  <c r="E24" i="27"/>
  <c r="D24" i="27"/>
  <c r="C24" i="27"/>
  <c r="P23" i="27"/>
  <c r="O23" i="27"/>
  <c r="N23" i="27"/>
  <c r="M23" i="27"/>
  <c r="L23" i="27"/>
  <c r="K23" i="27"/>
  <c r="J23" i="27"/>
  <c r="I23" i="27"/>
  <c r="H23" i="27"/>
  <c r="G23" i="27"/>
  <c r="F23" i="27"/>
  <c r="E23" i="27"/>
  <c r="D23" i="27"/>
  <c r="C23" i="27"/>
  <c r="P22" i="27"/>
  <c r="O22" i="27"/>
  <c r="N22" i="27"/>
  <c r="M22" i="27"/>
  <c r="L22" i="27"/>
  <c r="K22" i="27"/>
  <c r="J22" i="27"/>
  <c r="I22" i="27"/>
  <c r="H22" i="27"/>
  <c r="G22" i="27"/>
  <c r="F22" i="27"/>
  <c r="E22" i="27"/>
  <c r="D22" i="27"/>
  <c r="C22" i="27"/>
  <c r="P21" i="27"/>
  <c r="O21" i="27"/>
  <c r="N21" i="27"/>
  <c r="M21" i="27"/>
  <c r="L21" i="27"/>
  <c r="K21" i="27"/>
  <c r="J21" i="27"/>
  <c r="I21" i="27"/>
  <c r="H21" i="27"/>
  <c r="G21" i="27"/>
  <c r="F21" i="27"/>
  <c r="E21" i="27"/>
  <c r="D21" i="27"/>
  <c r="C21" i="27"/>
  <c r="P16" i="27"/>
  <c r="O16" i="27"/>
  <c r="N16" i="27"/>
  <c r="M16" i="27"/>
  <c r="L16" i="27"/>
  <c r="K16" i="27"/>
  <c r="J16" i="27"/>
  <c r="I16" i="27"/>
  <c r="H16" i="27"/>
  <c r="G16" i="27"/>
  <c r="F16" i="27"/>
  <c r="E16" i="27"/>
  <c r="D16" i="27"/>
  <c r="C16" i="27"/>
  <c r="P15" i="27"/>
  <c r="O15" i="27"/>
  <c r="N15" i="27"/>
  <c r="M15" i="27"/>
  <c r="L15" i="27"/>
  <c r="K15" i="27"/>
  <c r="J15" i="27"/>
  <c r="I15" i="27"/>
  <c r="H15" i="27"/>
  <c r="G15" i="27"/>
  <c r="F15" i="27"/>
  <c r="E15" i="27"/>
  <c r="D15" i="27"/>
  <c r="C15" i="27"/>
  <c r="P12" i="27"/>
  <c r="O12" i="27"/>
  <c r="N12" i="27"/>
  <c r="M12" i="27"/>
  <c r="L12" i="27"/>
  <c r="K12" i="27"/>
  <c r="J12" i="27"/>
  <c r="I12" i="27"/>
  <c r="H12" i="27"/>
  <c r="G12" i="27"/>
  <c r="F12" i="27"/>
  <c r="E12" i="27"/>
  <c r="D12" i="27"/>
  <c r="C12" i="27"/>
  <c r="P7" i="27"/>
  <c r="O7" i="27"/>
  <c r="N7" i="27"/>
  <c r="M7" i="27"/>
  <c r="L7" i="27"/>
  <c r="K7" i="27"/>
  <c r="J7" i="27"/>
  <c r="I7" i="27"/>
  <c r="H7" i="27"/>
  <c r="G7" i="27"/>
  <c r="F7" i="27"/>
  <c r="E7" i="27"/>
  <c r="D7" i="27"/>
  <c r="C7" i="27"/>
  <c r="P6" i="27"/>
  <c r="O6" i="27"/>
  <c r="N6" i="27"/>
  <c r="M6" i="27"/>
  <c r="L6" i="27"/>
  <c r="K6" i="27"/>
  <c r="J6" i="27"/>
  <c r="I6" i="27"/>
  <c r="H6" i="27"/>
  <c r="G6" i="27"/>
  <c r="F6" i="27"/>
  <c r="E6" i="27"/>
  <c r="D6" i="27"/>
  <c r="C6" i="27"/>
  <c r="O24" i="26"/>
  <c r="N24" i="26"/>
  <c r="M24" i="26"/>
  <c r="L24" i="26"/>
  <c r="K24" i="26"/>
  <c r="J24" i="26"/>
  <c r="I24" i="26"/>
  <c r="H24" i="26"/>
  <c r="G24" i="26"/>
  <c r="F24" i="26"/>
  <c r="E24" i="26"/>
  <c r="D24" i="26"/>
  <c r="C24" i="26"/>
  <c r="O23" i="26"/>
  <c r="N23" i="26"/>
  <c r="M23" i="26"/>
  <c r="L23" i="26"/>
  <c r="K23" i="26"/>
  <c r="J23" i="26"/>
  <c r="I23" i="26"/>
  <c r="H23" i="26"/>
  <c r="G23" i="26"/>
  <c r="F23" i="26"/>
  <c r="E23" i="26"/>
  <c r="D23" i="26"/>
  <c r="C23" i="26"/>
  <c r="O22" i="26"/>
  <c r="N22" i="26"/>
  <c r="M22" i="26"/>
  <c r="L22" i="26"/>
  <c r="K22" i="26"/>
  <c r="J22" i="26"/>
  <c r="I22" i="26"/>
  <c r="H22" i="26"/>
  <c r="G22" i="26"/>
  <c r="F22" i="26"/>
  <c r="E22" i="26"/>
  <c r="D22" i="26"/>
  <c r="C22" i="26"/>
  <c r="O21" i="26"/>
  <c r="N21" i="26"/>
  <c r="M21" i="26"/>
  <c r="L21" i="26"/>
  <c r="K21" i="26"/>
  <c r="J21" i="26"/>
  <c r="I21" i="26"/>
  <c r="H21" i="26"/>
  <c r="G21" i="26"/>
  <c r="F21" i="26"/>
  <c r="E21" i="26"/>
  <c r="D21" i="26"/>
  <c r="C21" i="26"/>
  <c r="O16" i="26"/>
  <c r="N16" i="26"/>
  <c r="M16" i="26"/>
  <c r="L16" i="26"/>
  <c r="K16" i="26"/>
  <c r="J16" i="26"/>
  <c r="I16" i="26"/>
  <c r="H16" i="26"/>
  <c r="G16" i="26"/>
  <c r="F16" i="26"/>
  <c r="E16" i="26"/>
  <c r="D16" i="26"/>
  <c r="C16" i="26"/>
  <c r="O15" i="26"/>
  <c r="N15" i="26"/>
  <c r="M15" i="26"/>
  <c r="L15" i="26"/>
  <c r="K15" i="26"/>
  <c r="J15" i="26"/>
  <c r="I15" i="26"/>
  <c r="H15" i="26"/>
  <c r="G15" i="26"/>
  <c r="F15" i="26"/>
  <c r="E15" i="26"/>
  <c r="D15" i="26"/>
  <c r="C15" i="26"/>
  <c r="O12" i="26"/>
  <c r="N12" i="26"/>
  <c r="M12" i="26"/>
  <c r="L12" i="26"/>
  <c r="K12" i="26"/>
  <c r="J12" i="26"/>
  <c r="I12" i="26"/>
  <c r="H12" i="26"/>
  <c r="G12" i="26"/>
  <c r="F12" i="26"/>
  <c r="E12" i="26"/>
  <c r="D12" i="26"/>
  <c r="C12" i="26"/>
  <c r="O7" i="26"/>
  <c r="N7" i="26"/>
  <c r="M7" i="26"/>
  <c r="L7" i="26"/>
  <c r="K7" i="26"/>
  <c r="J7" i="26"/>
  <c r="I7" i="26"/>
  <c r="H7" i="26"/>
  <c r="G7" i="26"/>
  <c r="F7" i="26"/>
  <c r="E7" i="26"/>
  <c r="D7" i="26"/>
  <c r="C7" i="26"/>
  <c r="O6" i="26"/>
  <c r="N6" i="26"/>
  <c r="M6" i="26"/>
  <c r="L6" i="26"/>
  <c r="K6" i="26"/>
  <c r="J6" i="26"/>
  <c r="I6" i="26"/>
  <c r="H6" i="26"/>
  <c r="G6" i="26"/>
  <c r="F6" i="26"/>
  <c r="E6" i="26"/>
  <c r="D6" i="26"/>
  <c r="C6" i="26"/>
  <c r="AC24" i="25"/>
  <c r="AB24" i="25"/>
  <c r="AA24" i="25"/>
  <c r="Z24" i="25"/>
  <c r="Y24" i="25"/>
  <c r="X24" i="25"/>
  <c r="W24" i="25"/>
  <c r="V24" i="25"/>
  <c r="U24" i="25"/>
  <c r="T24" i="25"/>
  <c r="S24" i="25"/>
  <c r="R24" i="25"/>
  <c r="Q24" i="25"/>
  <c r="P24" i="25"/>
  <c r="O24" i="25"/>
  <c r="N24" i="25"/>
  <c r="M24" i="25"/>
  <c r="L24" i="25"/>
  <c r="K24" i="25"/>
  <c r="J24" i="25"/>
  <c r="I24" i="25"/>
  <c r="H24" i="25"/>
  <c r="G24" i="25"/>
  <c r="F24" i="25"/>
  <c r="E24" i="25"/>
  <c r="D24" i="25"/>
  <c r="C24" i="25"/>
  <c r="AC23" i="25"/>
  <c r="AB23" i="25"/>
  <c r="AA23" i="25"/>
  <c r="Z23" i="25"/>
  <c r="Y23" i="25"/>
  <c r="X23" i="25"/>
  <c r="W23" i="25"/>
  <c r="V23" i="25"/>
  <c r="U23" i="25"/>
  <c r="T23" i="25"/>
  <c r="S23" i="25"/>
  <c r="R23" i="25"/>
  <c r="Q23" i="25"/>
  <c r="P23" i="25"/>
  <c r="O23" i="25"/>
  <c r="N23" i="25"/>
  <c r="M23" i="25"/>
  <c r="L23" i="25"/>
  <c r="K23" i="25"/>
  <c r="J23" i="25"/>
  <c r="I23" i="25"/>
  <c r="H23" i="25"/>
  <c r="G23" i="25"/>
  <c r="F23" i="25"/>
  <c r="E23" i="25"/>
  <c r="D23" i="25"/>
  <c r="C23" i="25"/>
  <c r="AC22" i="25"/>
  <c r="AB22" i="25"/>
  <c r="AA22" i="25"/>
  <c r="Z22" i="25"/>
  <c r="Y22" i="25"/>
  <c r="X22" i="25"/>
  <c r="W22" i="25"/>
  <c r="V22" i="25"/>
  <c r="U22" i="25"/>
  <c r="T22" i="25"/>
  <c r="S22" i="25"/>
  <c r="R22" i="25"/>
  <c r="Q22" i="25"/>
  <c r="P22" i="25"/>
  <c r="O22" i="25"/>
  <c r="N22" i="25"/>
  <c r="M22" i="25"/>
  <c r="L22" i="25"/>
  <c r="K22" i="25"/>
  <c r="J22" i="25"/>
  <c r="I22" i="25"/>
  <c r="H22" i="25"/>
  <c r="G22" i="25"/>
  <c r="F22" i="25"/>
  <c r="E22" i="25"/>
  <c r="D22" i="25"/>
  <c r="C22" i="25"/>
  <c r="AC16" i="25"/>
  <c r="AB16" i="25"/>
  <c r="AA16" i="25"/>
  <c r="Z16" i="25"/>
  <c r="Y16" i="25"/>
  <c r="X16" i="25"/>
  <c r="W16" i="25"/>
  <c r="V16" i="25"/>
  <c r="U16" i="25"/>
  <c r="T16" i="25"/>
  <c r="S16" i="25"/>
  <c r="R16" i="25"/>
  <c r="Q16" i="25"/>
  <c r="P16" i="25"/>
  <c r="O16" i="25"/>
  <c r="N16" i="25"/>
  <c r="M16" i="25"/>
  <c r="L16" i="25"/>
  <c r="K16" i="25"/>
  <c r="J16" i="25"/>
  <c r="I16" i="25"/>
  <c r="H16" i="25"/>
  <c r="G16" i="25"/>
  <c r="F16" i="25"/>
  <c r="E16" i="25"/>
  <c r="D16" i="25"/>
  <c r="C16" i="25"/>
  <c r="AC12" i="25"/>
  <c r="AB12" i="25"/>
  <c r="AA12" i="25"/>
  <c r="Z12" i="25"/>
  <c r="Y12" i="25"/>
  <c r="X12" i="25"/>
  <c r="W12" i="25"/>
  <c r="V12" i="25"/>
  <c r="U12" i="25"/>
  <c r="T12" i="25"/>
  <c r="S12" i="25"/>
  <c r="R12" i="25"/>
  <c r="Q12" i="25"/>
  <c r="P12" i="25"/>
  <c r="O12" i="25"/>
  <c r="N12" i="25"/>
  <c r="M12" i="25"/>
  <c r="L12" i="25"/>
  <c r="K12" i="25"/>
  <c r="J12" i="25"/>
  <c r="I12" i="25"/>
  <c r="H12" i="25"/>
  <c r="G12" i="25"/>
  <c r="F12" i="25"/>
  <c r="E12" i="25"/>
  <c r="D12" i="25"/>
  <c r="C12" i="25"/>
  <c r="AC7" i="25"/>
  <c r="AB7" i="25"/>
  <c r="AA7" i="25"/>
  <c r="Z7" i="25"/>
  <c r="Y7" i="25"/>
  <c r="X7" i="25"/>
  <c r="W7" i="25"/>
  <c r="V7" i="25"/>
  <c r="U7" i="25"/>
  <c r="T7" i="25"/>
  <c r="S7" i="25"/>
  <c r="R7" i="25"/>
  <c r="Q7" i="25"/>
  <c r="P7" i="25"/>
  <c r="O7" i="25"/>
  <c r="N7" i="25"/>
  <c r="M7" i="25"/>
  <c r="L7" i="25"/>
  <c r="K7" i="25"/>
  <c r="J7" i="25"/>
  <c r="I7" i="25"/>
  <c r="H7" i="25"/>
  <c r="G7" i="25"/>
  <c r="F7" i="25"/>
  <c r="E7" i="25"/>
  <c r="D7" i="25"/>
  <c r="C7" i="25"/>
  <c r="AC6" i="25"/>
  <c r="AB6" i="25"/>
  <c r="AA6" i="25"/>
  <c r="Z6" i="25"/>
  <c r="Y6" i="25"/>
  <c r="X6" i="25"/>
  <c r="W6" i="25"/>
  <c r="V6" i="25"/>
  <c r="U6" i="25"/>
  <c r="T6" i="25"/>
  <c r="S6" i="25"/>
  <c r="R6" i="25"/>
  <c r="Q6" i="25"/>
  <c r="P6" i="25"/>
  <c r="O6" i="25"/>
  <c r="N6" i="25"/>
  <c r="M6" i="25"/>
  <c r="L6" i="25"/>
  <c r="K6" i="25"/>
  <c r="J6" i="25"/>
  <c r="I6" i="25"/>
  <c r="H6" i="25"/>
  <c r="G6" i="25"/>
  <c r="F6" i="25"/>
  <c r="E6" i="25"/>
  <c r="D6" i="25"/>
  <c r="C6" i="25"/>
  <c r="V24" i="22"/>
  <c r="U24" i="22"/>
  <c r="T24" i="22"/>
  <c r="S24" i="22"/>
  <c r="R24" i="22"/>
  <c r="Q24" i="22"/>
  <c r="P24" i="22"/>
  <c r="O24" i="22"/>
  <c r="N24" i="22"/>
  <c r="M24" i="22"/>
  <c r="L24" i="22"/>
  <c r="K24" i="22"/>
  <c r="J24" i="22"/>
  <c r="I24" i="22"/>
  <c r="H24" i="22"/>
  <c r="G24" i="22"/>
  <c r="F24" i="22"/>
  <c r="E24" i="22"/>
  <c r="D24" i="22"/>
  <c r="C24" i="22"/>
  <c r="V23" i="22"/>
  <c r="U23" i="22"/>
  <c r="T23" i="22"/>
  <c r="S23" i="22"/>
  <c r="R23" i="22"/>
  <c r="Q23" i="22"/>
  <c r="P23" i="22"/>
  <c r="O23" i="22"/>
  <c r="N23" i="22"/>
  <c r="M23" i="22"/>
  <c r="L23" i="22"/>
  <c r="K23" i="22"/>
  <c r="J23" i="22"/>
  <c r="I23" i="22"/>
  <c r="H23" i="22"/>
  <c r="G23" i="22"/>
  <c r="F23" i="22"/>
  <c r="E23" i="22"/>
  <c r="D23" i="22"/>
  <c r="C23" i="22"/>
  <c r="V22" i="22"/>
  <c r="U22" i="22"/>
  <c r="T22" i="22"/>
  <c r="S22" i="22"/>
  <c r="R22" i="22"/>
  <c r="Q22" i="22"/>
  <c r="P22" i="22"/>
  <c r="O22" i="22"/>
  <c r="N22" i="22"/>
  <c r="M22" i="22"/>
  <c r="L22" i="22"/>
  <c r="K22" i="22"/>
  <c r="J22" i="22"/>
  <c r="I22" i="22"/>
  <c r="H22" i="22"/>
  <c r="G22" i="22"/>
  <c r="F22" i="22"/>
  <c r="E22" i="22"/>
  <c r="D22" i="22"/>
  <c r="C22" i="22"/>
  <c r="H18" i="22"/>
  <c r="G18" i="22"/>
  <c r="F18" i="22"/>
  <c r="E18" i="22"/>
  <c r="D18" i="22"/>
  <c r="C18" i="22"/>
  <c r="V16" i="22"/>
  <c r="U16" i="22"/>
  <c r="T16" i="22"/>
  <c r="S16" i="22"/>
  <c r="R16" i="22"/>
  <c r="Q16" i="22"/>
  <c r="P16" i="22"/>
  <c r="O16" i="22"/>
  <c r="N16" i="22"/>
  <c r="M16" i="22"/>
  <c r="L16" i="22"/>
  <c r="K16" i="22"/>
  <c r="J16" i="22"/>
  <c r="I16" i="22"/>
  <c r="H16" i="22"/>
  <c r="G16" i="22"/>
  <c r="F16" i="22"/>
  <c r="E16" i="22"/>
  <c r="D16" i="22"/>
  <c r="C16" i="22"/>
  <c r="V12" i="22"/>
  <c r="U12" i="22"/>
  <c r="T12" i="22"/>
  <c r="S12" i="22"/>
  <c r="R12" i="22"/>
  <c r="Q12" i="22"/>
  <c r="P12" i="22"/>
  <c r="O12" i="22"/>
  <c r="N12" i="22"/>
  <c r="M12" i="22"/>
  <c r="L12" i="22"/>
  <c r="K12" i="22"/>
  <c r="J12" i="22"/>
  <c r="I12" i="22"/>
  <c r="H12" i="22"/>
  <c r="G12" i="22"/>
  <c r="F12" i="22"/>
  <c r="E12" i="22"/>
  <c r="D12" i="22"/>
  <c r="C12" i="22"/>
  <c r="V7" i="22"/>
  <c r="U7" i="22"/>
  <c r="T7" i="22"/>
  <c r="S7" i="22"/>
  <c r="R7" i="22"/>
  <c r="Q7" i="22"/>
  <c r="P7" i="22"/>
  <c r="O7" i="22"/>
  <c r="N7" i="22"/>
  <c r="M7" i="22"/>
  <c r="L7" i="22"/>
  <c r="K7" i="22"/>
  <c r="J7" i="22"/>
  <c r="I7" i="22"/>
  <c r="H7" i="22"/>
  <c r="G7" i="22"/>
  <c r="F7" i="22"/>
  <c r="E7" i="22"/>
  <c r="D7" i="22"/>
  <c r="C7" i="22"/>
  <c r="V6" i="22"/>
  <c r="U6" i="22"/>
  <c r="T6" i="22"/>
  <c r="S6" i="22"/>
  <c r="R6" i="22"/>
  <c r="Q6" i="22"/>
  <c r="P6" i="22"/>
  <c r="O6" i="22"/>
  <c r="N6" i="22"/>
  <c r="M6" i="22"/>
  <c r="L6" i="22"/>
  <c r="K6" i="22"/>
  <c r="J6" i="22"/>
  <c r="I6" i="22"/>
  <c r="H6" i="22"/>
  <c r="G6" i="22"/>
  <c r="F6" i="22"/>
  <c r="E6" i="22"/>
  <c r="D6" i="22"/>
  <c r="C6" i="22"/>
  <c r="AB24" i="19"/>
  <c r="AA24" i="19"/>
  <c r="Z24" i="19"/>
  <c r="Y24" i="19"/>
  <c r="X24" i="19"/>
  <c r="W24" i="19"/>
  <c r="V24" i="19"/>
  <c r="U24" i="19"/>
  <c r="T24" i="19"/>
  <c r="S24" i="19"/>
  <c r="R24" i="19"/>
  <c r="Q24" i="19"/>
  <c r="P24" i="19"/>
  <c r="O24" i="19"/>
  <c r="N24" i="19"/>
  <c r="M24" i="19"/>
  <c r="L24" i="19"/>
  <c r="K24" i="19"/>
  <c r="J24" i="19"/>
  <c r="I24" i="19"/>
  <c r="H24" i="19"/>
  <c r="G24" i="19"/>
  <c r="F24" i="19"/>
  <c r="E24" i="19"/>
  <c r="D24" i="19"/>
  <c r="C24" i="19"/>
  <c r="AB22" i="19"/>
  <c r="AB23" i="19" s="1"/>
  <c r="AA22" i="19"/>
  <c r="AA23" i="19" s="1"/>
  <c r="Z22" i="19"/>
  <c r="Z23" i="19" s="1"/>
  <c r="Y22" i="19"/>
  <c r="Y23" i="19" s="1"/>
  <c r="X22" i="19"/>
  <c r="X23" i="19" s="1"/>
  <c r="W22" i="19"/>
  <c r="W23" i="19" s="1"/>
  <c r="V22" i="19"/>
  <c r="V23" i="19" s="1"/>
  <c r="U22" i="19"/>
  <c r="U23" i="19" s="1"/>
  <c r="T22" i="19"/>
  <c r="T23" i="19" s="1"/>
  <c r="S22" i="19"/>
  <c r="S23" i="19" s="1"/>
  <c r="R22" i="19"/>
  <c r="R23" i="19" s="1"/>
  <c r="Q22" i="19"/>
  <c r="Q23" i="19" s="1"/>
  <c r="P22" i="19"/>
  <c r="P23" i="19" s="1"/>
  <c r="O22" i="19"/>
  <c r="O23" i="19" s="1"/>
  <c r="N22" i="19"/>
  <c r="N23" i="19" s="1"/>
  <c r="M22" i="19"/>
  <c r="M23" i="19" s="1"/>
  <c r="L22" i="19"/>
  <c r="L23" i="19" s="1"/>
  <c r="K22" i="19"/>
  <c r="K23" i="19" s="1"/>
  <c r="J22" i="19"/>
  <c r="J23" i="19" s="1"/>
  <c r="I22" i="19"/>
  <c r="I23" i="19" s="1"/>
  <c r="H22" i="19"/>
  <c r="H23" i="19" s="1"/>
  <c r="G22" i="19"/>
  <c r="G23" i="19" s="1"/>
  <c r="F22" i="19"/>
  <c r="F23" i="19" s="1"/>
  <c r="E22" i="19"/>
  <c r="E23" i="19" s="1"/>
  <c r="D22" i="19"/>
  <c r="D23" i="19" s="1"/>
  <c r="C22" i="19"/>
  <c r="C23" i="19" s="1"/>
  <c r="AB18" i="19"/>
  <c r="AA18" i="19"/>
  <c r="Z18" i="19"/>
  <c r="Y18" i="19"/>
  <c r="X18" i="19"/>
  <c r="W18" i="19"/>
  <c r="V18" i="19"/>
  <c r="U18" i="19"/>
  <c r="T18" i="19"/>
  <c r="S18" i="19"/>
  <c r="R18" i="19"/>
  <c r="Q18" i="19"/>
  <c r="P18" i="19"/>
  <c r="O18" i="19"/>
  <c r="N18" i="19"/>
  <c r="M18" i="19"/>
  <c r="L18" i="19"/>
  <c r="K18" i="19"/>
  <c r="J18" i="19"/>
  <c r="I18" i="19"/>
  <c r="H18" i="19"/>
  <c r="G18" i="19"/>
  <c r="F18" i="19"/>
  <c r="E18" i="19"/>
  <c r="D18" i="19"/>
  <c r="C18" i="19"/>
  <c r="AB16" i="19"/>
  <c r="AA16" i="19"/>
  <c r="Z16" i="19"/>
  <c r="Y16" i="19"/>
  <c r="X16" i="19"/>
  <c r="W16" i="19"/>
  <c r="V16" i="19"/>
  <c r="U16" i="19"/>
  <c r="T16" i="19"/>
  <c r="S16" i="19"/>
  <c r="R16" i="19"/>
  <c r="Q16" i="19"/>
  <c r="P16" i="19"/>
  <c r="O16" i="19"/>
  <c r="N16" i="19"/>
  <c r="M16" i="19"/>
  <c r="L16" i="19"/>
  <c r="K16" i="19"/>
  <c r="J16" i="19"/>
  <c r="I16" i="19"/>
  <c r="H16" i="19"/>
  <c r="G16" i="19"/>
  <c r="F16" i="19"/>
  <c r="E16" i="19"/>
  <c r="D16" i="19"/>
  <c r="C16" i="19"/>
  <c r="AB12" i="19"/>
  <c r="AA12" i="19"/>
  <c r="Z12" i="19"/>
  <c r="Y12" i="19"/>
  <c r="X12" i="19"/>
  <c r="W12" i="19"/>
  <c r="V12" i="19"/>
  <c r="U12" i="19"/>
  <c r="T12" i="19"/>
  <c r="S12" i="19"/>
  <c r="R12" i="19"/>
  <c r="Q12" i="19"/>
  <c r="P12" i="19"/>
  <c r="O12" i="19"/>
  <c r="N12" i="19"/>
  <c r="M12" i="19"/>
  <c r="L12" i="19"/>
  <c r="K12" i="19"/>
  <c r="J12" i="19"/>
  <c r="I12" i="19"/>
  <c r="H12" i="19"/>
  <c r="G12" i="19"/>
  <c r="F12" i="19"/>
  <c r="E12" i="19"/>
  <c r="D12" i="19"/>
  <c r="C12" i="19"/>
  <c r="AB6" i="19"/>
  <c r="AB7" i="19" s="1"/>
  <c r="AA6" i="19"/>
  <c r="AA7" i="19" s="1"/>
  <c r="Z6" i="19"/>
  <c r="Z7" i="19" s="1"/>
  <c r="Y6" i="19"/>
  <c r="Y8" i="19" s="1"/>
  <c r="X6" i="19"/>
  <c r="X7" i="19" s="1"/>
  <c r="W6" i="19"/>
  <c r="W7" i="19" s="1"/>
  <c r="V6" i="19"/>
  <c r="V7" i="19" s="1"/>
  <c r="U6" i="19"/>
  <c r="U7" i="19" s="1"/>
  <c r="T6" i="19"/>
  <c r="T7" i="19" s="1"/>
  <c r="S6" i="19"/>
  <c r="S7" i="19" s="1"/>
  <c r="R6" i="19"/>
  <c r="R7" i="19" s="1"/>
  <c r="Q6" i="19"/>
  <c r="Q7" i="19" s="1"/>
  <c r="P6" i="19"/>
  <c r="P7" i="19" s="1"/>
  <c r="O6" i="19"/>
  <c r="O7" i="19" s="1"/>
  <c r="N6" i="19"/>
  <c r="N7" i="19" s="1"/>
  <c r="M6" i="19"/>
  <c r="M7" i="19" s="1"/>
  <c r="L6" i="19"/>
  <c r="L7" i="19" s="1"/>
  <c r="K6" i="19"/>
  <c r="K7" i="19" s="1"/>
  <c r="J6" i="19"/>
  <c r="J7" i="19" s="1"/>
  <c r="I6" i="19"/>
  <c r="I7" i="19" s="1"/>
  <c r="H6" i="19"/>
  <c r="H7" i="19" s="1"/>
  <c r="G6" i="19"/>
  <c r="G7" i="19" s="1"/>
  <c r="F6" i="19"/>
  <c r="F7" i="19" s="1"/>
  <c r="E6" i="19"/>
  <c r="E7" i="19" s="1"/>
  <c r="D6" i="19"/>
  <c r="D7" i="19" s="1"/>
  <c r="C6" i="19"/>
  <c r="C7" i="19" s="1"/>
  <c r="X24" i="24"/>
  <c r="W24" i="24"/>
  <c r="V24" i="24"/>
  <c r="U24" i="24"/>
  <c r="T24" i="24"/>
  <c r="S24" i="24"/>
  <c r="R24" i="24"/>
  <c r="Q24" i="24"/>
  <c r="P24" i="24"/>
  <c r="O24" i="24"/>
  <c r="N24" i="24"/>
  <c r="M24" i="24"/>
  <c r="L24" i="24"/>
  <c r="K24" i="24"/>
  <c r="J24" i="24"/>
  <c r="I24" i="24"/>
  <c r="H24" i="24"/>
  <c r="G24" i="24"/>
  <c r="F24" i="24"/>
  <c r="E24" i="24"/>
  <c r="D24" i="24"/>
  <c r="C24" i="24"/>
  <c r="X23" i="24"/>
  <c r="W23" i="24"/>
  <c r="V23" i="24"/>
  <c r="U23" i="24"/>
  <c r="T23" i="24"/>
  <c r="S23" i="24"/>
  <c r="R23" i="24"/>
  <c r="Q23" i="24"/>
  <c r="P23" i="24"/>
  <c r="O23" i="24"/>
  <c r="N23" i="24"/>
  <c r="M23" i="24"/>
  <c r="L23" i="24"/>
  <c r="K23" i="24"/>
  <c r="J23" i="24"/>
  <c r="I23" i="24"/>
  <c r="H23" i="24"/>
  <c r="G23" i="24"/>
  <c r="F23" i="24"/>
  <c r="E23" i="24"/>
  <c r="D23" i="24"/>
  <c r="C23" i="24"/>
  <c r="X22" i="24"/>
  <c r="W22" i="24"/>
  <c r="V22" i="24"/>
  <c r="U22" i="24"/>
  <c r="T22" i="24"/>
  <c r="S22" i="24"/>
  <c r="R22" i="24"/>
  <c r="Q22" i="24"/>
  <c r="P22" i="24"/>
  <c r="O22" i="24"/>
  <c r="N22" i="24"/>
  <c r="M22" i="24"/>
  <c r="L22" i="24"/>
  <c r="K22" i="24"/>
  <c r="J22" i="24"/>
  <c r="I22" i="24"/>
  <c r="H22" i="24"/>
  <c r="G22" i="24"/>
  <c r="F22" i="24"/>
  <c r="E22" i="24"/>
  <c r="D22" i="24"/>
  <c r="C22" i="24"/>
  <c r="X16" i="24"/>
  <c r="W16" i="24"/>
  <c r="V16" i="24"/>
  <c r="U16" i="24"/>
  <c r="T16" i="24"/>
  <c r="S16" i="24"/>
  <c r="R16" i="24"/>
  <c r="Q16" i="24"/>
  <c r="P16" i="24"/>
  <c r="O16" i="24"/>
  <c r="N16" i="24"/>
  <c r="M16" i="24"/>
  <c r="L16" i="24"/>
  <c r="K16" i="24"/>
  <c r="J16" i="24"/>
  <c r="I16" i="24"/>
  <c r="H16" i="24"/>
  <c r="G16" i="24"/>
  <c r="F16" i="24"/>
  <c r="E16" i="24"/>
  <c r="D16" i="24"/>
  <c r="C16" i="24"/>
  <c r="X12" i="24"/>
  <c r="W12" i="24"/>
  <c r="V12" i="24"/>
  <c r="U12" i="24"/>
  <c r="T12" i="24"/>
  <c r="S12" i="24"/>
  <c r="R12" i="24"/>
  <c r="Q12" i="24"/>
  <c r="P12" i="24"/>
  <c r="O12" i="24"/>
  <c r="N12" i="24"/>
  <c r="M12" i="24"/>
  <c r="L12" i="24"/>
  <c r="K12" i="24"/>
  <c r="J12" i="24"/>
  <c r="I12" i="24"/>
  <c r="H12" i="24"/>
  <c r="G12" i="24"/>
  <c r="F12" i="24"/>
  <c r="E12" i="24"/>
  <c r="D12" i="24"/>
  <c r="C12" i="24"/>
  <c r="X7" i="24"/>
  <c r="W7" i="24"/>
  <c r="V7" i="24"/>
  <c r="U7" i="24"/>
  <c r="T7" i="24"/>
  <c r="S7" i="24"/>
  <c r="R7" i="24"/>
  <c r="Q7" i="24"/>
  <c r="P7" i="24"/>
  <c r="O7" i="24"/>
  <c r="N7" i="24"/>
  <c r="M7" i="24"/>
  <c r="L7" i="24"/>
  <c r="K7" i="24"/>
  <c r="J7" i="24"/>
  <c r="I7" i="24"/>
  <c r="H7" i="24"/>
  <c r="G7" i="24"/>
  <c r="F7" i="24"/>
  <c r="E7" i="24"/>
  <c r="D7" i="24"/>
  <c r="C7" i="24"/>
  <c r="X6" i="24"/>
  <c r="W6" i="24"/>
  <c r="V6" i="24"/>
  <c r="U6" i="24"/>
  <c r="T6" i="24"/>
  <c r="S6" i="24"/>
  <c r="R6" i="24"/>
  <c r="Q6" i="24"/>
  <c r="P6" i="24"/>
  <c r="O6" i="24"/>
  <c r="N6" i="24"/>
  <c r="M6" i="24"/>
  <c r="L6" i="24"/>
  <c r="K6" i="24"/>
  <c r="J6" i="24"/>
  <c r="I6" i="24"/>
  <c r="H6" i="24"/>
  <c r="G6" i="24"/>
  <c r="F6" i="24"/>
  <c r="E6" i="24"/>
  <c r="D6" i="24"/>
  <c r="C6" i="24"/>
  <c r="AB24" i="21"/>
  <c r="AA24" i="21"/>
  <c r="Z24" i="21"/>
  <c r="Y24" i="21"/>
  <c r="X24" i="21"/>
  <c r="W24" i="21"/>
  <c r="V24" i="21"/>
  <c r="U24" i="21"/>
  <c r="T24" i="21"/>
  <c r="S24" i="21"/>
  <c r="R24" i="21"/>
  <c r="Q24" i="21"/>
  <c r="P24" i="21"/>
  <c r="O24" i="21"/>
  <c r="N24" i="21"/>
  <c r="M24" i="21"/>
  <c r="L24" i="21"/>
  <c r="K24" i="21"/>
  <c r="J24" i="21"/>
  <c r="I24" i="21"/>
  <c r="H24" i="21"/>
  <c r="G24" i="21"/>
  <c r="F24" i="21"/>
  <c r="E24" i="21"/>
  <c r="D24" i="21"/>
  <c r="C24" i="21"/>
  <c r="AB23" i="21"/>
  <c r="AA23" i="21"/>
  <c r="Z23" i="21"/>
  <c r="Y23" i="21"/>
  <c r="X23" i="21"/>
  <c r="W23" i="21"/>
  <c r="V23" i="21"/>
  <c r="U23" i="21"/>
  <c r="T23" i="21"/>
  <c r="S23" i="21"/>
  <c r="R23" i="21"/>
  <c r="Q23" i="21"/>
  <c r="P23" i="21"/>
  <c r="O23" i="21"/>
  <c r="N23" i="21"/>
  <c r="M23" i="21"/>
  <c r="L23" i="21"/>
  <c r="K23" i="21"/>
  <c r="J23" i="21"/>
  <c r="I23" i="21"/>
  <c r="H23" i="21"/>
  <c r="G23" i="21"/>
  <c r="F23" i="21"/>
  <c r="E23" i="21"/>
  <c r="D23" i="21"/>
  <c r="C23" i="21"/>
  <c r="AB22" i="21"/>
  <c r="AA22" i="21"/>
  <c r="Z22" i="21"/>
  <c r="Y22" i="21"/>
  <c r="X22" i="21"/>
  <c r="W22" i="21"/>
  <c r="V22" i="21"/>
  <c r="U22" i="21"/>
  <c r="T22" i="21"/>
  <c r="S22" i="21"/>
  <c r="R22" i="21"/>
  <c r="Q22" i="21"/>
  <c r="P22" i="21"/>
  <c r="O22" i="21"/>
  <c r="N22" i="21"/>
  <c r="M22" i="21"/>
  <c r="L22" i="21"/>
  <c r="K22" i="21"/>
  <c r="J22" i="21"/>
  <c r="I22" i="21"/>
  <c r="H22" i="21"/>
  <c r="G22" i="21"/>
  <c r="F22" i="21"/>
  <c r="E22" i="21"/>
  <c r="D22" i="21"/>
  <c r="C22" i="21"/>
  <c r="AB18" i="21"/>
  <c r="AA18" i="21"/>
  <c r="Z18" i="21"/>
  <c r="Y18" i="21"/>
  <c r="X18" i="21"/>
  <c r="W18" i="21"/>
  <c r="V18" i="21"/>
  <c r="U18" i="21"/>
  <c r="T18" i="21"/>
  <c r="S18" i="21"/>
  <c r="R18" i="21"/>
  <c r="Q18" i="21"/>
  <c r="P18" i="21"/>
  <c r="O18" i="21"/>
  <c r="N18" i="21"/>
  <c r="M18" i="21"/>
  <c r="L18" i="21"/>
  <c r="K18" i="21"/>
  <c r="J18" i="21"/>
  <c r="I18" i="21"/>
  <c r="H18" i="21"/>
  <c r="G18" i="21"/>
  <c r="F18" i="21"/>
  <c r="E18" i="21"/>
  <c r="D18" i="21"/>
  <c r="C18" i="21"/>
  <c r="AB16" i="21"/>
  <c r="AA16" i="21"/>
  <c r="Z16" i="21"/>
  <c r="Y16" i="21"/>
  <c r="X16" i="21"/>
  <c r="W16" i="21"/>
  <c r="V16" i="21"/>
  <c r="U16" i="21"/>
  <c r="T16" i="21"/>
  <c r="S16" i="21"/>
  <c r="R16" i="21"/>
  <c r="Q16" i="21"/>
  <c r="P16" i="21"/>
  <c r="O16" i="21"/>
  <c r="N16" i="21"/>
  <c r="M16" i="21"/>
  <c r="L16" i="21"/>
  <c r="K16" i="21"/>
  <c r="J16" i="21"/>
  <c r="I16" i="21"/>
  <c r="H16" i="21"/>
  <c r="G16" i="21"/>
  <c r="F16" i="21"/>
  <c r="E16" i="21"/>
  <c r="D16" i="21"/>
  <c r="C16" i="21"/>
  <c r="AB12" i="21"/>
  <c r="AA12" i="21"/>
  <c r="Z12" i="21"/>
  <c r="Y12" i="21"/>
  <c r="X12" i="21"/>
  <c r="W12" i="21"/>
  <c r="V12" i="21"/>
  <c r="U12" i="21"/>
  <c r="T12" i="21"/>
  <c r="S12" i="21"/>
  <c r="R12" i="21"/>
  <c r="Q12" i="21"/>
  <c r="P12" i="21"/>
  <c r="O12" i="21"/>
  <c r="N12" i="21"/>
  <c r="M12" i="21"/>
  <c r="L12" i="21"/>
  <c r="K12" i="21"/>
  <c r="J12" i="21"/>
  <c r="I12" i="21"/>
  <c r="H12" i="21"/>
  <c r="G12" i="21"/>
  <c r="F12" i="21"/>
  <c r="E12" i="21"/>
  <c r="D12" i="21"/>
  <c r="C12" i="21"/>
  <c r="AB7" i="21"/>
  <c r="AA7" i="21"/>
  <c r="Z7" i="21"/>
  <c r="Y7" i="21"/>
  <c r="X7" i="21"/>
  <c r="W7" i="21"/>
  <c r="V7" i="21"/>
  <c r="U7" i="21"/>
  <c r="T7" i="21"/>
  <c r="S7" i="21"/>
  <c r="R7" i="21"/>
  <c r="Q7" i="21"/>
  <c r="P7" i="21"/>
  <c r="O7" i="21"/>
  <c r="N7" i="21"/>
  <c r="M7" i="21"/>
  <c r="L7" i="21"/>
  <c r="K7" i="21"/>
  <c r="J7" i="21"/>
  <c r="I7" i="21"/>
  <c r="H7" i="21"/>
  <c r="G7" i="21"/>
  <c r="F7" i="21"/>
  <c r="E7" i="21"/>
  <c r="D7" i="21"/>
  <c r="C7" i="21"/>
  <c r="AB6" i="21"/>
  <c r="AA6" i="21"/>
  <c r="Z6" i="21"/>
  <c r="Y6" i="21"/>
  <c r="X6" i="21"/>
  <c r="W6" i="21"/>
  <c r="V6" i="21"/>
  <c r="U6" i="21"/>
  <c r="T6" i="21"/>
  <c r="S6" i="21"/>
  <c r="R6" i="21"/>
  <c r="Q6" i="21"/>
  <c r="P6" i="21"/>
  <c r="O6" i="21"/>
  <c r="N6" i="21"/>
  <c r="M6" i="21"/>
  <c r="L6" i="21"/>
  <c r="K6" i="21"/>
  <c r="J6" i="21"/>
  <c r="I6" i="21"/>
  <c r="H6" i="21"/>
  <c r="G6" i="21"/>
  <c r="F6" i="21"/>
  <c r="E6" i="21"/>
  <c r="D6" i="21"/>
  <c r="C6" i="21"/>
  <c r="S24" i="18"/>
  <c r="R24" i="18"/>
  <c r="Q24" i="18"/>
  <c r="P24" i="18"/>
  <c r="O24" i="18"/>
  <c r="N24" i="18"/>
  <c r="M24" i="18"/>
  <c r="L24" i="18"/>
  <c r="K24" i="18"/>
  <c r="J24" i="18"/>
  <c r="I24" i="18"/>
  <c r="H24" i="18"/>
  <c r="G24" i="18"/>
  <c r="F24" i="18"/>
  <c r="E24" i="18"/>
  <c r="D24" i="18"/>
  <c r="C24" i="18"/>
  <c r="S23" i="18"/>
  <c r="R23" i="18"/>
  <c r="Q23" i="18"/>
  <c r="P23" i="18"/>
  <c r="O23" i="18"/>
  <c r="N23" i="18"/>
  <c r="M23" i="18"/>
  <c r="L23" i="18"/>
  <c r="K23" i="18"/>
  <c r="J23" i="18"/>
  <c r="I23" i="18"/>
  <c r="H23" i="18"/>
  <c r="G23" i="18"/>
  <c r="F23" i="18"/>
  <c r="E23" i="18"/>
  <c r="D23" i="18"/>
  <c r="C23" i="18"/>
  <c r="S22" i="18"/>
  <c r="R22" i="18"/>
  <c r="Q22" i="18"/>
  <c r="P22" i="18"/>
  <c r="O22" i="18"/>
  <c r="N22" i="18"/>
  <c r="M22" i="18"/>
  <c r="L22" i="18"/>
  <c r="K22" i="18"/>
  <c r="J22" i="18"/>
  <c r="I22" i="18"/>
  <c r="H22" i="18"/>
  <c r="G22" i="18"/>
  <c r="F22" i="18"/>
  <c r="E22" i="18"/>
  <c r="D22" i="18"/>
  <c r="C22" i="18"/>
  <c r="S18" i="18"/>
  <c r="R18" i="18"/>
  <c r="Q18" i="18"/>
  <c r="P18" i="18"/>
  <c r="O18" i="18"/>
  <c r="N18" i="18"/>
  <c r="M18" i="18"/>
  <c r="L18" i="18"/>
  <c r="K18" i="18"/>
  <c r="J18" i="18"/>
  <c r="I18" i="18"/>
  <c r="H18" i="18"/>
  <c r="G18" i="18"/>
  <c r="F18" i="18"/>
  <c r="E18" i="18"/>
  <c r="D18" i="18"/>
  <c r="C18" i="18"/>
  <c r="S16" i="18"/>
  <c r="R16" i="18"/>
  <c r="Q16" i="18"/>
  <c r="P16" i="18"/>
  <c r="O16" i="18"/>
  <c r="N16" i="18"/>
  <c r="M16" i="18"/>
  <c r="L16" i="18"/>
  <c r="K16" i="18"/>
  <c r="J16" i="18"/>
  <c r="I16" i="18"/>
  <c r="H16" i="18"/>
  <c r="G16" i="18"/>
  <c r="F16" i="18"/>
  <c r="E16" i="18"/>
  <c r="D16" i="18"/>
  <c r="C16" i="18"/>
  <c r="S12" i="18"/>
  <c r="R12" i="18"/>
  <c r="Q12" i="18"/>
  <c r="P12" i="18"/>
  <c r="O12" i="18"/>
  <c r="N12" i="18"/>
  <c r="M12" i="18"/>
  <c r="L12" i="18"/>
  <c r="K12" i="18"/>
  <c r="J12" i="18"/>
  <c r="I12" i="18"/>
  <c r="H12" i="18"/>
  <c r="G12" i="18"/>
  <c r="F12" i="18"/>
  <c r="E12" i="18"/>
  <c r="D12" i="18"/>
  <c r="C12" i="18"/>
  <c r="S7" i="18"/>
  <c r="R7" i="18"/>
  <c r="Q7" i="18"/>
  <c r="P7" i="18"/>
  <c r="O7" i="18"/>
  <c r="N7" i="18"/>
  <c r="M7" i="18"/>
  <c r="L7" i="18"/>
  <c r="K7" i="18"/>
  <c r="J7" i="18"/>
  <c r="I7" i="18"/>
  <c r="H7" i="18"/>
  <c r="G7" i="18"/>
  <c r="F7" i="18"/>
  <c r="E7" i="18"/>
  <c r="D7" i="18"/>
  <c r="C7" i="18"/>
  <c r="S6" i="18"/>
  <c r="R6" i="18"/>
  <c r="Q6" i="18"/>
  <c r="P6" i="18"/>
  <c r="O6" i="18"/>
  <c r="N6" i="18"/>
  <c r="M6" i="18"/>
  <c r="L6" i="18"/>
  <c r="K6" i="18"/>
  <c r="J6" i="18"/>
  <c r="I6" i="18"/>
  <c r="H6" i="18"/>
  <c r="G6" i="18"/>
  <c r="F6" i="18"/>
  <c r="E6" i="18"/>
  <c r="D6" i="18"/>
  <c r="C6" i="18"/>
  <c r="O24" i="34"/>
  <c r="N24" i="34"/>
  <c r="M24" i="34"/>
  <c r="L24" i="34"/>
  <c r="K24" i="34"/>
  <c r="J24" i="34"/>
  <c r="I24" i="34"/>
  <c r="H24" i="34"/>
  <c r="G24" i="34"/>
  <c r="F24" i="34"/>
  <c r="E24" i="34"/>
  <c r="D24" i="34"/>
  <c r="C24" i="34"/>
  <c r="O23" i="34"/>
  <c r="N23" i="34"/>
  <c r="M23" i="34"/>
  <c r="L23" i="34"/>
  <c r="K23" i="34"/>
  <c r="J23" i="34"/>
  <c r="I23" i="34"/>
  <c r="H23" i="34"/>
  <c r="G23" i="34"/>
  <c r="F23" i="34"/>
  <c r="E23" i="34"/>
  <c r="D23" i="34"/>
  <c r="C23" i="34"/>
  <c r="O22" i="34"/>
  <c r="N22" i="34"/>
  <c r="M22" i="34"/>
  <c r="L22" i="34"/>
  <c r="K22" i="34"/>
  <c r="J22" i="34"/>
  <c r="I22" i="34"/>
  <c r="H22" i="34"/>
  <c r="G22" i="34"/>
  <c r="F22" i="34"/>
  <c r="E22" i="34"/>
  <c r="D22" i="34"/>
  <c r="C22" i="34"/>
  <c r="C21" i="34"/>
  <c r="C16" i="34"/>
  <c r="C15" i="34"/>
  <c r="O12" i="34"/>
  <c r="N12" i="34"/>
  <c r="M12" i="34"/>
  <c r="L12" i="34"/>
  <c r="K12" i="34"/>
  <c r="J12" i="34"/>
  <c r="I12" i="34"/>
  <c r="H12" i="34"/>
  <c r="G12" i="34"/>
  <c r="F12" i="34"/>
  <c r="E12" i="34"/>
  <c r="D12" i="34"/>
  <c r="C12" i="34"/>
  <c r="O7" i="34"/>
  <c r="N7" i="34"/>
  <c r="M7" i="34"/>
  <c r="L7" i="34"/>
  <c r="K7" i="34"/>
  <c r="J7" i="34"/>
  <c r="I7" i="34"/>
  <c r="H7" i="34"/>
  <c r="G7" i="34"/>
  <c r="F7" i="34"/>
  <c r="E7" i="34"/>
  <c r="D7" i="34"/>
  <c r="C7" i="34"/>
  <c r="O6" i="34"/>
  <c r="N6" i="34"/>
  <c r="M6" i="34"/>
  <c r="L6" i="34"/>
  <c r="K6" i="34"/>
  <c r="J6" i="34"/>
  <c r="I6" i="34"/>
  <c r="H6" i="34"/>
  <c r="G6" i="34"/>
  <c r="F6" i="34"/>
  <c r="E6" i="34"/>
  <c r="D6" i="34"/>
  <c r="C6" i="34"/>
  <c r="M24" i="36"/>
  <c r="L24" i="36"/>
  <c r="K24" i="36"/>
  <c r="J24" i="36"/>
  <c r="I24" i="36"/>
  <c r="H24" i="36"/>
  <c r="G24" i="36"/>
  <c r="F24" i="36"/>
  <c r="E24" i="36"/>
  <c r="D24" i="36"/>
  <c r="C24" i="36"/>
  <c r="M23" i="36"/>
  <c r="L23" i="36"/>
  <c r="K23" i="36"/>
  <c r="J23" i="36"/>
  <c r="I23" i="36"/>
  <c r="H23" i="36"/>
  <c r="G23" i="36"/>
  <c r="F23" i="36"/>
  <c r="E23" i="36"/>
  <c r="D23" i="36"/>
  <c r="C23" i="36"/>
  <c r="M22" i="36"/>
  <c r="L22" i="36"/>
  <c r="K22" i="36"/>
  <c r="J22" i="36"/>
  <c r="I22" i="36"/>
  <c r="H22" i="36"/>
  <c r="G22" i="36"/>
  <c r="F22" i="36"/>
  <c r="E22" i="36"/>
  <c r="D22" i="36"/>
  <c r="C22" i="36"/>
  <c r="M21" i="36"/>
  <c r="L21" i="36"/>
  <c r="K21" i="36"/>
  <c r="I21" i="36"/>
  <c r="H21" i="36"/>
  <c r="G21" i="36"/>
  <c r="F21" i="36"/>
  <c r="E21" i="36"/>
  <c r="D21" i="36"/>
  <c r="C21" i="36"/>
  <c r="M16" i="36"/>
  <c r="L16" i="36"/>
  <c r="K16" i="36"/>
  <c r="J16" i="36"/>
  <c r="I16" i="36"/>
  <c r="H16" i="36"/>
  <c r="G16" i="36"/>
  <c r="F16" i="36"/>
  <c r="E16" i="36"/>
  <c r="D16" i="36"/>
  <c r="C16" i="36"/>
  <c r="M15" i="36"/>
  <c r="L15" i="36"/>
  <c r="K15" i="36"/>
  <c r="J15" i="36"/>
  <c r="I15" i="36"/>
  <c r="H15" i="36"/>
  <c r="G15" i="36"/>
  <c r="F15" i="36"/>
  <c r="E15" i="36"/>
  <c r="D15" i="36"/>
  <c r="C15" i="36"/>
  <c r="M12" i="36"/>
  <c r="L12" i="36"/>
  <c r="K12" i="36"/>
  <c r="J12" i="36"/>
  <c r="I12" i="36"/>
  <c r="H12" i="36"/>
  <c r="G12" i="36"/>
  <c r="F12" i="36"/>
  <c r="E12" i="36"/>
  <c r="D12" i="36"/>
  <c r="C12" i="36"/>
  <c r="M7" i="36"/>
  <c r="L7" i="36"/>
  <c r="K7" i="36"/>
  <c r="J7" i="36"/>
  <c r="I7" i="36"/>
  <c r="H7" i="36"/>
  <c r="G7" i="36"/>
  <c r="F7" i="36"/>
  <c r="E7" i="36"/>
  <c r="D7" i="36"/>
  <c r="C7" i="36"/>
  <c r="M6" i="36"/>
  <c r="L6" i="36"/>
  <c r="K6" i="36"/>
  <c r="J6" i="36"/>
  <c r="I6" i="36"/>
  <c r="H6" i="36"/>
  <c r="G6" i="36"/>
  <c r="F6" i="36"/>
  <c r="E6" i="36"/>
  <c r="D6" i="36"/>
  <c r="C6" i="36"/>
  <c r="U24" i="23"/>
  <c r="T24" i="23"/>
  <c r="S24" i="23"/>
  <c r="R24" i="23"/>
  <c r="Q24" i="23"/>
  <c r="P24" i="23"/>
  <c r="O24" i="23"/>
  <c r="N24" i="23"/>
  <c r="M24" i="23"/>
  <c r="L24" i="23"/>
  <c r="K24" i="23"/>
  <c r="J24" i="23"/>
  <c r="I24" i="23"/>
  <c r="H24" i="23"/>
  <c r="G24" i="23"/>
  <c r="F24" i="23"/>
  <c r="E24" i="23"/>
  <c r="D24" i="23"/>
  <c r="C24" i="23"/>
  <c r="U23" i="23"/>
  <c r="T23" i="23"/>
  <c r="S23" i="23"/>
  <c r="R23" i="23"/>
  <c r="Q23" i="23"/>
  <c r="P23" i="23"/>
  <c r="O23" i="23"/>
  <c r="N23" i="23"/>
  <c r="M23" i="23"/>
  <c r="L23" i="23"/>
  <c r="K23" i="23"/>
  <c r="J23" i="23"/>
  <c r="I23" i="23"/>
  <c r="H23" i="23"/>
  <c r="G23" i="23"/>
  <c r="F23" i="23"/>
  <c r="E23" i="23"/>
  <c r="D23" i="23"/>
  <c r="C23" i="23"/>
  <c r="U22" i="23"/>
  <c r="T22" i="23"/>
  <c r="S22" i="23"/>
  <c r="R22" i="23"/>
  <c r="Q22" i="23"/>
  <c r="P22" i="23"/>
  <c r="O22" i="23"/>
  <c r="N22" i="23"/>
  <c r="M22" i="23"/>
  <c r="L22" i="23"/>
  <c r="K22" i="23"/>
  <c r="J22" i="23"/>
  <c r="I22" i="23"/>
  <c r="H22" i="23"/>
  <c r="G22" i="23"/>
  <c r="F22" i="23"/>
  <c r="E22" i="23"/>
  <c r="D22" i="23"/>
  <c r="C22" i="23"/>
  <c r="U16" i="23"/>
  <c r="T16" i="23"/>
  <c r="S16" i="23"/>
  <c r="R16" i="23"/>
  <c r="Q16" i="23"/>
  <c r="P16" i="23"/>
  <c r="O16" i="23"/>
  <c r="N16" i="23"/>
  <c r="M16" i="23"/>
  <c r="L16" i="23"/>
  <c r="K16" i="23"/>
  <c r="J16" i="23"/>
  <c r="I16" i="23"/>
  <c r="H16" i="23"/>
  <c r="G16" i="23"/>
  <c r="F16" i="23"/>
  <c r="E16" i="23"/>
  <c r="D16" i="23"/>
  <c r="C16" i="23"/>
  <c r="U12" i="23"/>
  <c r="T12" i="23"/>
  <c r="S12" i="23"/>
  <c r="R12" i="23"/>
  <c r="Q12" i="23"/>
  <c r="P12" i="23"/>
  <c r="O12" i="23"/>
  <c r="N12" i="23"/>
  <c r="M12" i="23"/>
  <c r="L12" i="23"/>
  <c r="K12" i="23"/>
  <c r="J12" i="23"/>
  <c r="I12" i="23"/>
  <c r="H12" i="23"/>
  <c r="G12" i="23"/>
  <c r="F12" i="23"/>
  <c r="E12" i="23"/>
  <c r="D12" i="23"/>
  <c r="C12" i="23"/>
  <c r="U7" i="23"/>
  <c r="T7" i="23"/>
  <c r="S7" i="23"/>
  <c r="R7" i="23"/>
  <c r="Q7" i="23"/>
  <c r="P7" i="23"/>
  <c r="O7" i="23"/>
  <c r="N7" i="23"/>
  <c r="M7" i="23"/>
  <c r="L7" i="23"/>
  <c r="K7" i="23"/>
  <c r="J7" i="23"/>
  <c r="I7" i="23"/>
  <c r="H7" i="23"/>
  <c r="G7" i="23"/>
  <c r="F7" i="23"/>
  <c r="E7" i="23"/>
  <c r="D7" i="23"/>
  <c r="C7" i="23"/>
  <c r="U6" i="23"/>
  <c r="T6" i="23"/>
  <c r="S6" i="23"/>
  <c r="R6" i="23"/>
  <c r="Q6" i="23"/>
  <c r="P6" i="23"/>
  <c r="O6" i="23"/>
  <c r="N6" i="23"/>
  <c r="M6" i="23"/>
  <c r="L6" i="23"/>
  <c r="K6" i="23"/>
  <c r="J6" i="23"/>
  <c r="I6" i="23"/>
  <c r="H6" i="23"/>
  <c r="G6" i="23"/>
  <c r="F6" i="23"/>
  <c r="E6" i="23"/>
  <c r="D6" i="23"/>
  <c r="C6" i="23"/>
  <c r="AA24" i="20"/>
  <c r="Z24" i="20"/>
  <c r="Y24" i="20"/>
  <c r="X24" i="20"/>
  <c r="W24" i="20"/>
  <c r="V24" i="20"/>
  <c r="U24" i="20"/>
  <c r="T24" i="20"/>
  <c r="S24" i="20"/>
  <c r="R24" i="20"/>
  <c r="Q24" i="20"/>
  <c r="P24" i="20"/>
  <c r="O24" i="20"/>
  <c r="N24" i="20"/>
  <c r="M24" i="20"/>
  <c r="L24" i="20"/>
  <c r="K24" i="20"/>
  <c r="J24" i="20"/>
  <c r="I24" i="20"/>
  <c r="H24" i="20"/>
  <c r="G24" i="20"/>
  <c r="F24" i="20"/>
  <c r="E24" i="20"/>
  <c r="D24" i="20"/>
  <c r="C24" i="20"/>
  <c r="AA23" i="20"/>
  <c r="Z23" i="20"/>
  <c r="Y23" i="20"/>
  <c r="X23" i="20"/>
  <c r="W23" i="20"/>
  <c r="V23" i="20"/>
  <c r="U23" i="20"/>
  <c r="T23" i="20"/>
  <c r="S23" i="20"/>
  <c r="R23" i="20"/>
  <c r="Q23" i="20"/>
  <c r="P23" i="20"/>
  <c r="O23" i="20"/>
  <c r="N23" i="20"/>
  <c r="M23" i="20"/>
  <c r="L23" i="20"/>
  <c r="K23" i="20"/>
  <c r="J23" i="20"/>
  <c r="I23" i="20"/>
  <c r="H23" i="20"/>
  <c r="G23" i="20"/>
  <c r="F23" i="20"/>
  <c r="E23" i="20"/>
  <c r="D23" i="20"/>
  <c r="C23" i="20"/>
  <c r="AA22" i="20"/>
  <c r="Z22" i="20"/>
  <c r="Y22" i="20"/>
  <c r="X22" i="20"/>
  <c r="W22" i="20"/>
  <c r="V22" i="20"/>
  <c r="U22" i="20"/>
  <c r="T22" i="20"/>
  <c r="S22" i="20"/>
  <c r="R22" i="20"/>
  <c r="Q22" i="20"/>
  <c r="P22" i="20"/>
  <c r="O22" i="20"/>
  <c r="N22" i="20"/>
  <c r="M22" i="20"/>
  <c r="L22" i="20"/>
  <c r="K22" i="20"/>
  <c r="J22" i="20"/>
  <c r="I22" i="20"/>
  <c r="H22" i="20"/>
  <c r="G22" i="20"/>
  <c r="F22" i="20"/>
  <c r="E22" i="20"/>
  <c r="D22" i="20"/>
  <c r="C22" i="20"/>
  <c r="AA18" i="20"/>
  <c r="Z18" i="20"/>
  <c r="Y18" i="20"/>
  <c r="X18" i="20"/>
  <c r="W18" i="20"/>
  <c r="V18" i="20"/>
  <c r="U18" i="20"/>
  <c r="T18" i="20"/>
  <c r="S18" i="20"/>
  <c r="R18" i="20"/>
  <c r="Q18" i="20"/>
  <c r="P18" i="20"/>
  <c r="O18" i="20"/>
  <c r="N18" i="20"/>
  <c r="M18" i="20"/>
  <c r="L18" i="20"/>
  <c r="K18" i="20"/>
  <c r="J18" i="20"/>
  <c r="I18" i="20"/>
  <c r="H18" i="20"/>
  <c r="G18" i="20"/>
  <c r="F18" i="20"/>
  <c r="E18" i="20"/>
  <c r="D18" i="20"/>
  <c r="C18" i="20"/>
  <c r="AA16" i="20"/>
  <c r="Z16" i="20"/>
  <c r="Y16" i="20"/>
  <c r="X16" i="20"/>
  <c r="W16" i="20"/>
  <c r="V16" i="20"/>
  <c r="U16" i="20"/>
  <c r="T16" i="20"/>
  <c r="S16" i="20"/>
  <c r="R16" i="20"/>
  <c r="Q16" i="20"/>
  <c r="P16" i="20"/>
  <c r="O16" i="20"/>
  <c r="N16" i="20"/>
  <c r="M16" i="20"/>
  <c r="L16" i="20"/>
  <c r="K16" i="20"/>
  <c r="J16" i="20"/>
  <c r="I16" i="20"/>
  <c r="H16" i="20"/>
  <c r="G16" i="20"/>
  <c r="F16" i="20"/>
  <c r="E16" i="20"/>
  <c r="D16" i="20"/>
  <c r="C16" i="20"/>
  <c r="AA12" i="20"/>
  <c r="Z12" i="20"/>
  <c r="Y12" i="20"/>
  <c r="X12" i="20"/>
  <c r="W12" i="20"/>
  <c r="V12" i="20"/>
  <c r="U12" i="20"/>
  <c r="T12" i="20"/>
  <c r="S12" i="20"/>
  <c r="R12" i="20"/>
  <c r="Q12" i="20"/>
  <c r="P12" i="20"/>
  <c r="O12" i="20"/>
  <c r="N12" i="20"/>
  <c r="M12" i="20"/>
  <c r="L12" i="20"/>
  <c r="K12" i="20"/>
  <c r="J12" i="20"/>
  <c r="I12" i="20"/>
  <c r="H12" i="20"/>
  <c r="G12" i="20"/>
  <c r="F12" i="20"/>
  <c r="E12" i="20"/>
  <c r="D12" i="20"/>
  <c r="C12" i="20"/>
  <c r="AA7" i="20"/>
  <c r="Z7" i="20"/>
  <c r="Y7" i="20"/>
  <c r="X7" i="20"/>
  <c r="W7" i="20"/>
  <c r="V7" i="20"/>
  <c r="U7" i="20"/>
  <c r="T7" i="20"/>
  <c r="S7" i="20"/>
  <c r="R7" i="20"/>
  <c r="Q7" i="20"/>
  <c r="P7" i="20"/>
  <c r="O7" i="20"/>
  <c r="N7" i="20"/>
  <c r="M7" i="20"/>
  <c r="L7" i="20"/>
  <c r="K7" i="20"/>
  <c r="J7" i="20"/>
  <c r="I7" i="20"/>
  <c r="H7" i="20"/>
  <c r="G7" i="20"/>
  <c r="F7" i="20"/>
  <c r="E7" i="20"/>
  <c r="D7" i="20"/>
  <c r="C7" i="20"/>
  <c r="AA6" i="20"/>
  <c r="Z6" i="20"/>
  <c r="Y6" i="20"/>
  <c r="X6" i="20"/>
  <c r="W6" i="20"/>
  <c r="V6" i="20"/>
  <c r="U6" i="20"/>
  <c r="T6" i="20"/>
  <c r="S6" i="20"/>
  <c r="R6" i="20"/>
  <c r="Q6" i="20"/>
  <c r="P6" i="20"/>
  <c r="O6" i="20"/>
  <c r="N6" i="20"/>
  <c r="M6" i="20"/>
  <c r="L6" i="20"/>
  <c r="K6" i="20"/>
  <c r="J6" i="20"/>
  <c r="I6" i="20"/>
  <c r="H6" i="20"/>
  <c r="G6" i="20"/>
  <c r="F6" i="20"/>
  <c r="E6" i="20"/>
  <c r="D6" i="20"/>
  <c r="C6" i="20"/>
  <c r="N24" i="3"/>
  <c r="M24" i="3"/>
  <c r="L24" i="3"/>
  <c r="K24" i="3"/>
  <c r="J24" i="3"/>
  <c r="I24" i="3"/>
  <c r="H24" i="3"/>
  <c r="G24" i="3"/>
  <c r="F24" i="3"/>
  <c r="E24" i="3"/>
  <c r="D24" i="3"/>
  <c r="C24" i="3"/>
  <c r="N23" i="3"/>
  <c r="M23" i="3"/>
  <c r="L23" i="3"/>
  <c r="K23" i="3"/>
  <c r="J23" i="3"/>
  <c r="I23" i="3"/>
  <c r="H23" i="3"/>
  <c r="G23" i="3"/>
  <c r="F23" i="3"/>
  <c r="E23" i="3"/>
  <c r="D23" i="3"/>
  <c r="C23" i="3"/>
  <c r="N22" i="3"/>
  <c r="M22" i="3"/>
  <c r="L22" i="3"/>
  <c r="K22" i="3"/>
  <c r="J22" i="3"/>
  <c r="I22" i="3"/>
  <c r="H22" i="3"/>
  <c r="G22" i="3"/>
  <c r="F22" i="3"/>
  <c r="E22" i="3"/>
  <c r="D22" i="3"/>
  <c r="C22" i="3"/>
  <c r="D21" i="3"/>
  <c r="N18" i="3"/>
  <c r="M18" i="3"/>
  <c r="L18" i="3"/>
  <c r="K18" i="3"/>
  <c r="J18" i="3"/>
  <c r="I18" i="3"/>
  <c r="H18" i="3"/>
  <c r="G18" i="3"/>
  <c r="F18" i="3"/>
  <c r="E18" i="3"/>
  <c r="D18" i="3"/>
  <c r="N16" i="3"/>
  <c r="M16" i="3"/>
  <c r="L16" i="3"/>
  <c r="K16" i="3"/>
  <c r="J16" i="3"/>
  <c r="I16" i="3"/>
  <c r="H16" i="3"/>
  <c r="G16" i="3"/>
  <c r="F16" i="3"/>
  <c r="E16" i="3"/>
  <c r="D16" i="3"/>
  <c r="C16" i="3"/>
  <c r="D15" i="3"/>
  <c r="N12" i="3"/>
  <c r="M12" i="3"/>
  <c r="L12" i="3"/>
  <c r="K12" i="3"/>
  <c r="J12" i="3"/>
  <c r="I12" i="3"/>
  <c r="H12" i="3"/>
  <c r="G12" i="3"/>
  <c r="F12" i="3"/>
  <c r="E12" i="3"/>
  <c r="D12" i="3"/>
  <c r="C12" i="3"/>
  <c r="C11" i="3"/>
  <c r="N7" i="3"/>
  <c r="M7" i="3"/>
  <c r="L7" i="3"/>
  <c r="K7" i="3"/>
  <c r="J7" i="3"/>
  <c r="I7" i="3"/>
  <c r="H7" i="3"/>
  <c r="G7" i="3"/>
  <c r="F7" i="3"/>
  <c r="E7" i="3"/>
  <c r="D7" i="3"/>
  <c r="C7" i="3"/>
  <c r="N6" i="3"/>
  <c r="M6" i="3"/>
  <c r="L6" i="3"/>
  <c r="K6" i="3"/>
  <c r="J6" i="3"/>
  <c r="I6" i="3"/>
  <c r="H6" i="3"/>
  <c r="G6" i="3"/>
  <c r="F6" i="3"/>
  <c r="E6" i="3"/>
  <c r="D6" i="3"/>
  <c r="C6" i="3"/>
  <c r="M24" i="32"/>
  <c r="L24" i="32"/>
  <c r="K24" i="32"/>
  <c r="J24" i="32"/>
  <c r="I24" i="32"/>
  <c r="H24" i="32"/>
  <c r="G24" i="32"/>
  <c r="F24" i="32"/>
  <c r="E24" i="32"/>
  <c r="D24" i="32"/>
  <c r="C24" i="32"/>
  <c r="M23" i="32"/>
  <c r="L23" i="32"/>
  <c r="K23" i="32"/>
  <c r="J23" i="32"/>
  <c r="I23" i="32"/>
  <c r="H23" i="32"/>
  <c r="G23" i="32"/>
  <c r="F23" i="32"/>
  <c r="E23" i="32"/>
  <c r="D23" i="32"/>
  <c r="C23" i="32"/>
  <c r="M22" i="32"/>
  <c r="L22" i="32"/>
  <c r="K22" i="32"/>
  <c r="J22" i="32"/>
  <c r="I22" i="32"/>
  <c r="H22" i="32"/>
  <c r="G22" i="32"/>
  <c r="F22" i="32"/>
  <c r="E22" i="32"/>
  <c r="D22" i="32"/>
  <c r="C22" i="32"/>
  <c r="N16" i="32"/>
  <c r="M16" i="32"/>
  <c r="L16" i="32"/>
  <c r="K16" i="32"/>
  <c r="J16" i="32"/>
  <c r="I16" i="32"/>
  <c r="H16" i="32"/>
  <c r="G16" i="32"/>
  <c r="F16" i="32"/>
  <c r="E16" i="32"/>
  <c r="D16" i="32"/>
  <c r="C16" i="32"/>
  <c r="N12" i="32"/>
  <c r="M12" i="32"/>
  <c r="L12" i="32"/>
  <c r="K12" i="32"/>
  <c r="J12" i="32"/>
  <c r="I12" i="32"/>
  <c r="H12" i="32"/>
  <c r="G12" i="32"/>
  <c r="F12" i="32"/>
  <c r="E12" i="32"/>
  <c r="D12" i="32"/>
  <c r="C12" i="32"/>
  <c r="N7" i="32"/>
  <c r="M7" i="32"/>
  <c r="L7" i="32"/>
  <c r="K7" i="32"/>
  <c r="J7" i="32"/>
  <c r="I7" i="32"/>
  <c r="H7" i="32"/>
  <c r="G7" i="32"/>
  <c r="F7" i="32"/>
  <c r="E7" i="32"/>
  <c r="D7" i="32"/>
  <c r="C7" i="32"/>
  <c r="N6" i="32"/>
  <c r="M6" i="32"/>
  <c r="L6" i="32"/>
  <c r="K6" i="32"/>
  <c r="J6" i="32"/>
  <c r="I6" i="32"/>
  <c r="H6" i="32"/>
  <c r="G6" i="32"/>
  <c r="F6" i="32"/>
  <c r="E6" i="32"/>
  <c r="D6" i="32"/>
  <c r="C6" i="32"/>
  <c r="E20" i="17"/>
  <c r="C20" i="17"/>
  <c r="E19" i="17"/>
  <c r="C19" i="17"/>
  <c r="D17" i="17"/>
  <c r="D16" i="17"/>
  <c r="D15" i="17"/>
  <c r="D14" i="17"/>
  <c r="C11" i="17"/>
  <c r="C10" i="17"/>
  <c r="H22" i="39" l="1"/>
  <c r="H23" i="39" s="1"/>
  <c r="D22" i="39"/>
  <c r="D23" i="39" s="1"/>
  <c r="F22" i="39"/>
  <c r="F23" i="39" s="1"/>
  <c r="C22" i="39"/>
  <c r="C23" i="39" s="1"/>
  <c r="G22" i="39"/>
  <c r="G23" i="39" s="1"/>
</calcChain>
</file>

<file path=xl/sharedStrings.xml><?xml version="1.0" encoding="utf-8"?>
<sst xmlns="http://schemas.openxmlformats.org/spreadsheetml/2006/main" count="1496" uniqueCount="155">
  <si>
    <t>MEA</t>
  </si>
  <si>
    <t>C</t>
  </si>
  <si>
    <t>bar</t>
  </si>
  <si>
    <t>Temperatura solvent chimic</t>
  </si>
  <si>
    <t>Debit gaze de ardere</t>
  </si>
  <si>
    <t>kg/h</t>
  </si>
  <si>
    <t>Debit solvent chimic</t>
  </si>
  <si>
    <t>Raport L/G</t>
  </si>
  <si>
    <t>%</t>
  </si>
  <si>
    <t>molCO2/molMEA</t>
  </si>
  <si>
    <t xml:space="preserve">MJ/h </t>
  </si>
  <si>
    <t>CO2</t>
  </si>
  <si>
    <t>SO2</t>
  </si>
  <si>
    <t>N2</t>
  </si>
  <si>
    <t>O2</t>
  </si>
  <si>
    <t>H2O</t>
  </si>
  <si>
    <t>Presiune gaze de ardere</t>
  </si>
  <si>
    <t>Temperatura gaze de ardere</t>
  </si>
  <si>
    <t>Presiune solvent chimic</t>
  </si>
  <si>
    <r>
      <t>Eficienta de captare CO</t>
    </r>
    <r>
      <rPr>
        <vertAlign val="subscript"/>
        <sz val="12"/>
        <color theme="1"/>
        <rFont val="Calibri"/>
        <family val="2"/>
        <scheme val="minor"/>
      </rPr>
      <t>2</t>
    </r>
  </si>
  <si>
    <t>Temperatura gaze de ardere la iesirea din coloana de absorbtie</t>
  </si>
  <si>
    <r>
      <t>Temperatura solvent bogat in CO</t>
    </r>
    <r>
      <rPr>
        <vertAlign val="subscript"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 xml:space="preserve"> la iesirea din coloana de absorbtie</t>
    </r>
  </si>
  <si>
    <r>
      <t>Grad de incarcare solvent bogat in CO</t>
    </r>
    <r>
      <rPr>
        <vertAlign val="subscript"/>
        <sz val="12"/>
        <color theme="1"/>
        <rFont val="Calibri"/>
        <family val="2"/>
        <scheme val="minor"/>
      </rPr>
      <t>2</t>
    </r>
  </si>
  <si>
    <r>
      <t>Temperatura SCH solvent bogat - solvent sarac in CO</t>
    </r>
    <r>
      <rPr>
        <vertAlign val="subscript"/>
        <sz val="12"/>
        <color theme="1"/>
        <rFont val="Calibri"/>
        <family val="2"/>
        <scheme val="minor"/>
      </rPr>
      <t>2</t>
    </r>
  </si>
  <si>
    <r>
      <t>Grad de incarcare solvent sarac in CO</t>
    </r>
    <r>
      <rPr>
        <vertAlign val="subscript"/>
        <sz val="12"/>
        <color theme="1"/>
        <rFont val="Calibri"/>
        <family val="2"/>
        <scheme val="minor"/>
      </rPr>
      <t>2</t>
    </r>
  </si>
  <si>
    <t>Consum energie termica pentru regenerarea solventului</t>
  </si>
  <si>
    <r>
      <t>Temperatura solvent sarac in CO</t>
    </r>
    <r>
      <rPr>
        <vertAlign val="subscript"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 xml:space="preserve"> la iesirea din coloana de desorbtie</t>
    </r>
  </si>
  <si>
    <r>
      <t>Compozitie flux CO</t>
    </r>
    <r>
      <rPr>
        <vertAlign val="subscript"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 xml:space="preserve"> captat</t>
    </r>
  </si>
  <si>
    <t xml:space="preserve">GJ/tCO2 </t>
  </si>
  <si>
    <t>kgsolvent/kggazeardere</t>
  </si>
  <si>
    <t>MEA gaze de ardere la iesirea din coloana de absorbtie</t>
  </si>
  <si>
    <t>MEA flux CO2 captat la iesirea din coloana de desorbtie</t>
  </si>
  <si>
    <r>
      <t>Debit CO</t>
    </r>
    <r>
      <rPr>
        <vertAlign val="subscript"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 xml:space="preserve"> intrare in coloana de absorbtie</t>
    </r>
  </si>
  <si>
    <r>
      <t>Debit CO</t>
    </r>
    <r>
      <rPr>
        <vertAlign val="subscript"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 xml:space="preserve"> iesire din coloana de absorbtie</t>
    </r>
  </si>
  <si>
    <t>Consum specific de energie termică pentru regenerare solvent chimic</t>
  </si>
  <si>
    <t>molar fraction</t>
  </si>
  <si>
    <t>weight fraction</t>
  </si>
  <si>
    <t>H</t>
  </si>
  <si>
    <t>O</t>
  </si>
  <si>
    <t>N</t>
  </si>
  <si>
    <t>S</t>
  </si>
  <si>
    <t>W</t>
  </si>
  <si>
    <t>Total</t>
  </si>
  <si>
    <t>A</t>
  </si>
  <si>
    <t>PCI, kJ/kg</t>
  </si>
  <si>
    <t>Compozitie gaze de ardere uscate (% masic)</t>
  </si>
  <si>
    <t>Compozitie lignit (% masic)</t>
  </si>
  <si>
    <t>Debit toatal gaze de ardere</t>
  </si>
  <si>
    <t>kg/s</t>
  </si>
  <si>
    <t>CO2 captat</t>
  </si>
  <si>
    <t>Pierderi MEA</t>
  </si>
  <si>
    <t>Pierderi specifice MEA</t>
  </si>
  <si>
    <t>kg/tCO2</t>
  </si>
  <si>
    <t>1000 MW</t>
  </si>
  <si>
    <t>1 MW</t>
  </si>
  <si>
    <t>DEA</t>
  </si>
  <si>
    <t>molCO2/molDEA</t>
  </si>
  <si>
    <t>DEA gaze de ardere la iesirea din coloana de absorbtie</t>
  </si>
  <si>
    <t>DEA flux CO2 captat la iesirea din coloana de desorbtie</t>
  </si>
  <si>
    <t>Pierderi DEA</t>
  </si>
  <si>
    <t>Pierderi specifice DEA</t>
  </si>
  <si>
    <t>MDEA</t>
  </si>
  <si>
    <t>MMDEA</t>
  </si>
  <si>
    <t>MDEA gaze de ardere la iesirea din coloana de absorbtie</t>
  </si>
  <si>
    <t>molCO2/molMDEA</t>
  </si>
  <si>
    <t>MDEA flux CO2 captat la iesirea din coloana de desorbtie</t>
  </si>
  <si>
    <t>Pierderi MDEA</t>
  </si>
  <si>
    <t>Pierderi specifice MDEA</t>
  </si>
  <si>
    <t>20% + 10%</t>
  </si>
  <si>
    <t>MEA + DEA</t>
  </si>
  <si>
    <t>MEA + DEA gaze de ardere la iesirea din coloana de absorbtie</t>
  </si>
  <si>
    <t>molCO2/molMEA + DEA</t>
  </si>
  <si>
    <t>MEA + DEA flux CO2 captat la iesirea din coloana de desorbtie</t>
  </si>
  <si>
    <t>Pierderi MEA + DEA</t>
  </si>
  <si>
    <t>Pierderi specifice MEA + DEA</t>
  </si>
  <si>
    <t>MEA + MDEA</t>
  </si>
  <si>
    <t>MEA + MDEA gaze de ardere la iesirea din coloana de absorbtie</t>
  </si>
  <si>
    <t>molCO2/molMEA + MDEA</t>
  </si>
  <si>
    <t>MEA + MDEA flux CO2 captat la iesirea din coloana de desorbtie</t>
  </si>
  <si>
    <t>Pierderi MEA + MDEA</t>
  </si>
  <si>
    <t>Pierderi specifice MEA + MDEA</t>
  </si>
  <si>
    <t xml:space="preserve">20% + 10% </t>
  </si>
  <si>
    <t>10% + 20 %</t>
  </si>
  <si>
    <t>DEA + MDEA</t>
  </si>
  <si>
    <t>DEA + MDEA gaze de ardere la iesirea din coloana de absorbtie</t>
  </si>
  <si>
    <t>molCO2/molDEA + MDEA</t>
  </si>
  <si>
    <t>DEA + MDEA flux CO2 captat la iesirea din coloana de desorbtie</t>
  </si>
  <si>
    <t>Pierderi DEA + MDEA</t>
  </si>
  <si>
    <t>Pierderi specifice DEA + MDEA</t>
  </si>
  <si>
    <t>10% + 20%</t>
  </si>
  <si>
    <t>DGA</t>
  </si>
  <si>
    <t>DGA gaze de ardere la iesirea din coloana de absorbtie</t>
  </si>
  <si>
    <t>molCO2/molDGA</t>
  </si>
  <si>
    <t>DGA flux CO2 captat la iesirea din coloana de desorbtie</t>
  </si>
  <si>
    <t>Pierderi DGA</t>
  </si>
  <si>
    <t>Pierderi specifice DGA</t>
  </si>
  <si>
    <t>MEA + DGA</t>
  </si>
  <si>
    <t>MEA + DGA gaze de ardere la iesirea din coloana de absorbtie</t>
  </si>
  <si>
    <t>molCO2/molMEA + DGA</t>
  </si>
  <si>
    <t>MEA + DGA flux CO2 captat la iesirea din coloana de desorbtie</t>
  </si>
  <si>
    <t>Pierderi MEA + DGA</t>
  </si>
  <si>
    <t>Pierderi specifice MEA + DGA</t>
  </si>
  <si>
    <t>MEA + piperazine</t>
  </si>
  <si>
    <t>30% + 10%</t>
  </si>
  <si>
    <t>piperazina</t>
  </si>
  <si>
    <t>molCO2/molMEA + piperazina</t>
  </si>
  <si>
    <t>Pierderi MEA + piperazina</t>
  </si>
  <si>
    <t>Pierderi specifice MEA + piperazina</t>
  </si>
  <si>
    <t>MEA + piperazina flux CO2 captat la iesirea din coloana de desorbtie</t>
  </si>
  <si>
    <t>MEA + piperazina gaze de ardere la iesirea din coloana de absorbtie</t>
  </si>
  <si>
    <t>10% + 10% + 10%</t>
  </si>
  <si>
    <t xml:space="preserve">MEA </t>
  </si>
  <si>
    <t>MEA+MEA+DEA+MDEA</t>
  </si>
  <si>
    <t>MEA+DEA+MDEA gaze de ardere la iesirea din coloana de absorbtie</t>
  </si>
  <si>
    <t>molCO2/molMEA+DEA+MDEA</t>
  </si>
  <si>
    <t>MEA+DEA+MDEA flux CO2 captat la iesirea din coloana de desorbtie</t>
  </si>
  <si>
    <t>Pierderi MEA+DEA+MDEA</t>
  </si>
  <si>
    <t>Pierderi specifice MEA+DEA+MDEA</t>
  </si>
  <si>
    <t>MEA 10%+ DEA 10%+ MDEA 10%</t>
  </si>
  <si>
    <t>DEA 20% + MDEA 10%</t>
  </si>
  <si>
    <t>Pierderi specifice solvent</t>
  </si>
  <si>
    <t>Pierderi solvent</t>
  </si>
  <si>
    <t>Amine flux CO2 captat la iesirea din coloana de desorbtie</t>
  </si>
  <si>
    <t>Amine in gaze de ardere la iesirea din coloana de absorbtie</t>
  </si>
  <si>
    <t>DEA 10% + MDEA 20%</t>
  </si>
  <si>
    <t>MEA 10% + MDEA 20%</t>
  </si>
  <si>
    <t>MEA 10% + DEA 20%</t>
  </si>
  <si>
    <t>MEA 20% + MDEA 10%</t>
  </si>
  <si>
    <t>MEA 20%+DEA 10%</t>
  </si>
  <si>
    <t>MDEA 10%</t>
  </si>
  <si>
    <t>DEA 10%</t>
  </si>
  <si>
    <t>MEA 10%</t>
  </si>
  <si>
    <t>MDEA 20%</t>
  </si>
  <si>
    <t>DEA 20%</t>
  </si>
  <si>
    <t>-</t>
  </si>
  <si>
    <t>MEA 20%</t>
  </si>
  <si>
    <t>MEA 30% + piperazina</t>
  </si>
  <si>
    <t>MDEA 30%</t>
  </si>
  <si>
    <t>DEA 30%</t>
  </si>
  <si>
    <t>MEA 30%</t>
  </si>
  <si>
    <t>DGA 30%</t>
  </si>
  <si>
    <t xml:space="preserve">MEA 30% + piperazina 10%
</t>
  </si>
  <si>
    <t xml:space="preserve">MEA = 20%
</t>
  </si>
  <si>
    <t xml:space="preserve">DEA = 20%
</t>
  </si>
  <si>
    <t xml:space="preserve">MDEA = 20%
</t>
  </si>
  <si>
    <t xml:space="preserve">MEA = 10%
</t>
  </si>
  <si>
    <t xml:space="preserve">DEA = 10%
</t>
  </si>
  <si>
    <t xml:space="preserve">MDEA = 10%
</t>
  </si>
  <si>
    <t xml:space="preserve">MEA 20% + DEA 10%
</t>
  </si>
  <si>
    <t xml:space="preserve">MEA 20% + MDEA 10%
</t>
  </si>
  <si>
    <t xml:space="preserve">MEA 10% + DEA 20%
</t>
  </si>
  <si>
    <t xml:space="preserve">MEA 10% + MDEA 20%
</t>
  </si>
  <si>
    <t xml:space="preserve">DEA 10% + MDEA 20%
</t>
  </si>
  <si>
    <t xml:space="preserve">DEA 20% + MDEA 10%
</t>
  </si>
  <si>
    <t xml:space="preserve">MEA 10% + DEA 10% + MDEA 10%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</si>
</sst>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3" formatCode="_(* #,##0.00_);_(* \(#,##0.00\);_(* &quot;-&quot;??_);_(@_)"/>
    <numFmt numFmtId="164" formatCode="0.000"/>
    <numFmt numFmtId="165" formatCode="0.0000"/>
    <numFmt numFmtId="166" formatCode="0.00000"/>
    <numFmt numFmtId="167" formatCode="0.0"/>
    <numFmt numFmtId="168" formatCode="0.0000000"/>
    <numFmt numFmtId="169" formatCode="_(* #,##0.000000_);_(* \(#,##0.000000\);_(* &quot;-&quot;??_);_(@_)"/>
    <numFmt numFmtId="170" formatCode="_(* #,##0.0000000000_);_(* \(#,##0.0000000000\);_(* &quot;-&quot;??_);_(@_)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vertAlign val="subscript"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24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52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164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0" fillId="0" borderId="0" xfId="0"/>
    <xf numFmtId="0" fontId="0" fillId="0" borderId="0" xfId="0"/>
    <xf numFmtId="9" fontId="1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1" xfId="0" applyFont="1" applyBorder="1" applyAlignment="1"/>
    <xf numFmtId="0" fontId="0" fillId="0" borderId="0" xfId="0" applyAlignment="1">
      <alignment wrapText="1"/>
    </xf>
    <xf numFmtId="0" fontId="0" fillId="0" borderId="0" xfId="0"/>
    <xf numFmtId="0" fontId="0" fillId="0" borderId="0" xfId="0"/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67" fontId="0" fillId="0" borderId="1" xfId="0" applyNumberFormat="1" applyBorder="1" applyAlignment="1">
      <alignment horizontal="center"/>
    </xf>
    <xf numFmtId="169" fontId="0" fillId="0" borderId="1" xfId="1" applyNumberFormat="1" applyFont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167" fontId="0" fillId="3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/>
    <xf numFmtId="0" fontId="0" fillId="4" borderId="0" xfId="0" applyFill="1"/>
    <xf numFmtId="0" fontId="0" fillId="4" borderId="1" xfId="0" applyFill="1" applyBorder="1" applyAlignment="1">
      <alignment horizontal="center"/>
    </xf>
    <xf numFmtId="2" fontId="0" fillId="4" borderId="1" xfId="0" applyNumberFormat="1" applyFill="1" applyBorder="1" applyAlignment="1">
      <alignment horizontal="center"/>
    </xf>
    <xf numFmtId="165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0" fillId="2" borderId="1" xfId="0" applyFill="1" applyBorder="1"/>
    <xf numFmtId="0" fontId="0" fillId="4" borderId="1" xfId="0" applyFill="1" applyBorder="1"/>
    <xf numFmtId="2" fontId="0" fillId="3" borderId="1" xfId="0" applyNumberFormat="1" applyFill="1" applyBorder="1"/>
    <xf numFmtId="2" fontId="0" fillId="4" borderId="1" xfId="0" applyNumberFormat="1" applyFill="1" applyBorder="1"/>
    <xf numFmtId="11" fontId="0" fillId="0" borderId="1" xfId="0" applyNumberFormat="1" applyBorder="1"/>
    <xf numFmtId="11" fontId="0" fillId="4" borderId="1" xfId="0" applyNumberFormat="1" applyFill="1" applyBorder="1"/>
    <xf numFmtId="0" fontId="0" fillId="0" borderId="1" xfId="0" applyFill="1" applyBorder="1" applyAlignment="1">
      <alignment horizontal="center"/>
    </xf>
    <xf numFmtId="2" fontId="0" fillId="0" borderId="1" xfId="0" applyNumberFormat="1" applyFill="1" applyBorder="1" applyAlignment="1">
      <alignment horizontal="center"/>
    </xf>
    <xf numFmtId="170" fontId="0" fillId="0" borderId="1" xfId="1" applyNumberFormat="1" applyFont="1" applyBorder="1"/>
    <xf numFmtId="0" fontId="0" fillId="0" borderId="1" xfId="0" applyFill="1" applyBorder="1"/>
    <xf numFmtId="0" fontId="4" fillId="0" borderId="1" xfId="0" applyFont="1" applyBorder="1"/>
    <xf numFmtId="43" fontId="0" fillId="0" borderId="1" xfId="1" applyFont="1" applyBorder="1" applyAlignment="1">
      <alignment horizontal="center"/>
    </xf>
    <xf numFmtId="0" fontId="4" fillId="0" borderId="1" xfId="0" applyFont="1" applyFill="1" applyBorder="1"/>
    <xf numFmtId="168" fontId="0" fillId="0" borderId="1" xfId="0" applyNumberFormat="1" applyBorder="1" applyAlignment="1">
      <alignment horizontal="center"/>
    </xf>
    <xf numFmtId="2" fontId="0" fillId="0" borderId="1" xfId="0" applyNumberFormat="1" applyBorder="1"/>
    <xf numFmtId="169" fontId="0" fillId="0" borderId="1" xfId="1" applyNumberFormat="1" applyFont="1" applyBorder="1"/>
    <xf numFmtId="169" fontId="0" fillId="4" borderId="1" xfId="1" applyNumberFormat="1" applyFont="1" applyFill="1" applyBorder="1"/>
    <xf numFmtId="0" fontId="0" fillId="3" borderId="5" xfId="0" applyFill="1" applyBorder="1" applyAlignment="1">
      <alignment horizontal="center"/>
    </xf>
    <xf numFmtId="0" fontId="0" fillId="3" borderId="5" xfId="0" applyFill="1" applyBorder="1"/>
    <xf numFmtId="0" fontId="0" fillId="0" borderId="1" xfId="0" applyBorder="1" applyAlignment="1">
      <alignment horizontal="center" vertical="center"/>
    </xf>
    <xf numFmtId="0" fontId="0" fillId="0" borderId="0" xfId="0"/>
    <xf numFmtId="0" fontId="0" fillId="5" borderId="0" xfId="0" applyFill="1"/>
    <xf numFmtId="0" fontId="0" fillId="5" borderId="1" xfId="0" applyFill="1" applyBorder="1" applyAlignment="1">
      <alignment horizontal="center"/>
    </xf>
    <xf numFmtId="2" fontId="0" fillId="5" borderId="1" xfId="0" applyNumberFormat="1" applyFill="1" applyBorder="1" applyAlignment="1">
      <alignment horizontal="center"/>
    </xf>
    <xf numFmtId="0" fontId="0" fillId="5" borderId="1" xfId="0" applyFill="1" applyBorder="1"/>
    <xf numFmtId="0" fontId="0" fillId="5" borderId="5" xfId="0" applyFill="1" applyBorder="1"/>
    <xf numFmtId="11" fontId="0" fillId="5" borderId="1" xfId="0" applyNumberFormat="1" applyFill="1" applyBorder="1"/>
    <xf numFmtId="0" fontId="0" fillId="0" borderId="1" xfId="0" applyBorder="1" applyAlignment="1">
      <alignment horizontal="center" vertical="center"/>
    </xf>
    <xf numFmtId="0" fontId="0" fillId="0" borderId="0" xfId="0"/>
    <xf numFmtId="0" fontId="0" fillId="3" borderId="0" xfId="0" applyFill="1"/>
    <xf numFmtId="0" fontId="5" fillId="0" borderId="1" xfId="0" applyFont="1" applyBorder="1" applyAlignment="1">
      <alignment horizontal="left"/>
    </xf>
    <xf numFmtId="0" fontId="5" fillId="0" borderId="1" xfId="0" applyFont="1" applyBorder="1" applyAlignment="1">
      <alignment horizontal="center"/>
    </xf>
    <xf numFmtId="0" fontId="5" fillId="0" borderId="0" xfId="0" applyFont="1"/>
    <xf numFmtId="0" fontId="6" fillId="0" borderId="0" xfId="0" applyFont="1"/>
    <xf numFmtId="9" fontId="6" fillId="0" borderId="0" xfId="0" applyNumberFormat="1" applyFont="1"/>
    <xf numFmtId="9" fontId="5" fillId="0" borderId="4" xfId="0" applyNumberFormat="1" applyFont="1" applyBorder="1" applyAlignment="1">
      <alignment horizontal="center"/>
    </xf>
    <xf numFmtId="11" fontId="0" fillId="0" borderId="0" xfId="0" applyNumberFormat="1"/>
    <xf numFmtId="0" fontId="0" fillId="0" borderId="2" xfId="0" applyBorder="1"/>
    <xf numFmtId="0" fontId="0" fillId="0" borderId="6" xfId="0" applyBorder="1"/>
    <xf numFmtId="0" fontId="6" fillId="0" borderId="1" xfId="0" applyFont="1" applyBorder="1"/>
    <xf numFmtId="0" fontId="0" fillId="0" borderId="1" xfId="0" applyFont="1" applyBorder="1"/>
    <xf numFmtId="0" fontId="0" fillId="4" borderId="0" xfId="0" applyFont="1" applyFill="1"/>
    <xf numFmtId="0" fontId="0" fillId="4" borderId="1" xfId="0" applyFont="1" applyFill="1" applyBorder="1" applyAlignment="1">
      <alignment horizontal="center"/>
    </xf>
    <xf numFmtId="2" fontId="0" fillId="4" borderId="1" xfId="0" applyNumberFormat="1" applyFont="1" applyFill="1" applyBorder="1" applyAlignment="1">
      <alignment horizontal="center"/>
    </xf>
    <xf numFmtId="0" fontId="0" fillId="4" borderId="1" xfId="0" applyFont="1" applyFill="1" applyBorder="1"/>
    <xf numFmtId="11" fontId="0" fillId="4" borderId="1" xfId="0" applyNumberFormat="1" applyFont="1" applyFill="1" applyBorder="1"/>
    <xf numFmtId="2" fontId="0" fillId="0" borderId="1" xfId="0" applyNumberForma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9" fontId="6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11" fontId="0" fillId="4" borderId="1" xfId="0" applyNumberFormat="1" applyFill="1" applyBorder="1" applyAlignment="1">
      <alignment horizontal="center" vertical="center"/>
    </xf>
    <xf numFmtId="0" fontId="4" fillId="2" borderId="0" xfId="0" applyFont="1" applyFill="1"/>
    <xf numFmtId="0" fontId="0" fillId="3" borderId="6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4" fillId="4" borderId="0" xfId="0" applyFont="1" applyFill="1"/>
    <xf numFmtId="0" fontId="0" fillId="4" borderId="0" xfId="0" applyFill="1" applyBorder="1" applyAlignment="1">
      <alignment horizontal="center" vertical="center"/>
    </xf>
    <xf numFmtId="11" fontId="0" fillId="4" borderId="0" xfId="0" applyNumberFormat="1" applyFill="1"/>
    <xf numFmtId="0" fontId="4" fillId="2" borderId="1" xfId="0" applyFont="1" applyFill="1" applyBorder="1"/>
    <xf numFmtId="0" fontId="4" fillId="4" borderId="1" xfId="0" applyFont="1" applyFill="1" applyBorder="1"/>
    <xf numFmtId="0" fontId="0" fillId="0" borderId="1" xfId="0" applyBorder="1" applyAlignment="1">
      <alignment horizontal="center" vertical="center"/>
    </xf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/>
    <xf numFmtId="0" fontId="0" fillId="3" borderId="5" xfId="0" applyFill="1" applyBorder="1" applyAlignment="1">
      <alignment horizontal="center" vertical="center"/>
    </xf>
    <xf numFmtId="0" fontId="0" fillId="4" borderId="5" xfId="0" applyFill="1" applyBorder="1"/>
    <xf numFmtId="2" fontId="0" fillId="0" borderId="1" xfId="0" applyNumberFormat="1" applyBorder="1" applyAlignment="1">
      <alignment horizontal="left"/>
    </xf>
    <xf numFmtId="2" fontId="0" fillId="3" borderId="0" xfId="0" applyNumberFormat="1" applyFill="1"/>
    <xf numFmtId="2" fontId="0" fillId="4" borderId="0" xfId="0" applyNumberFormat="1" applyFill="1"/>
    <xf numFmtId="2" fontId="0" fillId="0" borderId="0" xfId="0" applyNumberFormat="1"/>
    <xf numFmtId="0" fontId="0" fillId="3" borderId="0" xfId="0" applyFill="1" applyBorder="1"/>
    <xf numFmtId="0" fontId="0" fillId="4" borderId="0" xfId="0" applyFill="1" applyBorder="1"/>
    <xf numFmtId="0" fontId="4" fillId="3" borderId="1" xfId="0" applyFont="1" applyFill="1" applyBorder="1"/>
    <xf numFmtId="9" fontId="6" fillId="0" borderId="1" xfId="0" applyNumberFormat="1" applyFont="1" applyBorder="1"/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2" fontId="0" fillId="6" borderId="1" xfId="0" applyNumberFormat="1" applyFill="1" applyBorder="1" applyAlignment="1">
      <alignment horizontal="center" vertical="center"/>
    </xf>
    <xf numFmtId="0" fontId="0" fillId="6" borderId="1" xfId="0" applyFill="1" applyBorder="1"/>
    <xf numFmtId="11" fontId="0" fillId="6" borderId="1" xfId="0" applyNumberFormat="1" applyFill="1" applyBorder="1"/>
    <xf numFmtId="0" fontId="0" fillId="6" borderId="7" xfId="0" applyFill="1" applyBorder="1"/>
    <xf numFmtId="0" fontId="0" fillId="2" borderId="4" xfId="0" applyFill="1" applyBorder="1"/>
    <xf numFmtId="0" fontId="0" fillId="0" borderId="0" xfId="0" applyFill="1" applyBorder="1"/>
    <xf numFmtId="0" fontId="0" fillId="4" borderId="4" xfId="0" applyFill="1" applyBorder="1"/>
    <xf numFmtId="0" fontId="5" fillId="0" borderId="1" xfId="0" applyFont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2" fontId="0" fillId="4" borderId="1" xfId="0" applyNumberFormat="1" applyFont="1" applyFill="1" applyBorder="1" applyAlignment="1">
      <alignment horizontal="center" vertical="center"/>
    </xf>
    <xf numFmtId="165" fontId="0" fillId="4" borderId="1" xfId="0" applyNumberFormat="1" applyFill="1" applyBorder="1" applyAlignment="1">
      <alignment horizontal="center" vertical="center"/>
    </xf>
    <xf numFmtId="164" fontId="0" fillId="4" borderId="1" xfId="0" applyNumberFormat="1" applyFill="1" applyBorder="1" applyAlignment="1">
      <alignment horizontal="center" vertical="center"/>
    </xf>
    <xf numFmtId="169" fontId="0" fillId="4" borderId="1" xfId="1" applyNumberFormat="1" applyFont="1" applyFill="1" applyBorder="1" applyAlignment="1">
      <alignment horizontal="center" vertical="center"/>
    </xf>
    <xf numFmtId="11" fontId="0" fillId="4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0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169" fontId="0" fillId="3" borderId="1" xfId="1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7" fillId="0" borderId="0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</cellXfs>
  <cellStyles count="2">
    <cellStyle name="Normal" xfId="0" builtinId="0"/>
    <cellStyle name="Virgulă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0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1.xml"/><Relationship Id="rId2" Type="http://schemas.microsoft.com/office/2011/relationships/chartColorStyle" Target="colors100.xml"/><Relationship Id="rId1" Type="http://schemas.microsoft.com/office/2011/relationships/chartStyle" Target="style100.xml"/></Relationships>
</file>

<file path=xl/charts/_rels/chart10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2.xml"/><Relationship Id="rId2" Type="http://schemas.microsoft.com/office/2011/relationships/chartColorStyle" Target="colors101.xml"/><Relationship Id="rId1" Type="http://schemas.microsoft.com/office/2011/relationships/chartStyle" Target="style101.xml"/></Relationships>
</file>

<file path=xl/charts/_rels/chart102.xml.rels><?xml version="1.0" encoding="UTF-8" standalone="yes"?>
<Relationships xmlns="http://schemas.openxmlformats.org/package/2006/relationships"><Relationship Id="rId2" Type="http://schemas.microsoft.com/office/2011/relationships/chartColorStyle" Target="colors102.xml"/><Relationship Id="rId1" Type="http://schemas.microsoft.com/office/2011/relationships/chartStyle" Target="style102.xml"/></Relationships>
</file>

<file path=xl/charts/_rels/chart10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4.xml"/><Relationship Id="rId2" Type="http://schemas.microsoft.com/office/2011/relationships/chartColorStyle" Target="colors103.xml"/><Relationship Id="rId1" Type="http://schemas.microsoft.com/office/2011/relationships/chartStyle" Target="style103.xml"/></Relationships>
</file>

<file path=xl/charts/_rels/chart10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5.xml"/><Relationship Id="rId2" Type="http://schemas.microsoft.com/office/2011/relationships/chartColorStyle" Target="colors104.xml"/><Relationship Id="rId1" Type="http://schemas.microsoft.com/office/2011/relationships/chartStyle" Target="style104.xml"/></Relationships>
</file>

<file path=xl/charts/_rels/chart105.xml.rels><?xml version="1.0" encoding="UTF-8" standalone="yes"?>
<Relationships xmlns="http://schemas.openxmlformats.org/package/2006/relationships"><Relationship Id="rId2" Type="http://schemas.microsoft.com/office/2011/relationships/chartColorStyle" Target="colors105.xml"/><Relationship Id="rId1" Type="http://schemas.microsoft.com/office/2011/relationships/chartStyle" Target="style105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1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3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4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5.xml"/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6.xml"/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7.xml"/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8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9.xml"/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0.xml"/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1.xml"/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2.xml"/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3.xml"/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4.xml"/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5.xml"/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6.xml"/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7.xml"/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8.xml"/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9.xml"/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0.xml"/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1.xml"/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2.xml"/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3.xml"/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4.xml"/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5.xml"/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6.xml"/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7.xml"/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8.xml"/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9.xml"/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0.xml"/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1.xml"/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2.xml"/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3.xml"/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4.xml"/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5.xml"/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6.xml"/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7.xml"/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8.xml"/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9.xml"/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1.xml"/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2.xml"/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4.xml"/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5.xml"/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7.xml"/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8.xml"/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0.xml"/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1.xml"/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2.xml"/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4.xml"/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5.xml"/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7.xml"/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8.xml"/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7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0.xml"/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1.xml"/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81.xml.rels><?xml version="1.0" encoding="UTF-8" standalone="yes"?>
<Relationships xmlns="http://schemas.openxmlformats.org/package/2006/relationships"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82.xml.rels><?xml version="1.0" encoding="UTF-8" standalone="yes"?>
<Relationships xmlns="http://schemas.openxmlformats.org/package/2006/relationships"><Relationship Id="rId2" Type="http://schemas.microsoft.com/office/2011/relationships/chartColorStyle" Target="colors82.xml"/><Relationship Id="rId1" Type="http://schemas.microsoft.com/office/2011/relationships/chartStyle" Target="style82.xml"/></Relationships>
</file>

<file path=xl/charts/_rels/chart8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3.xml"/><Relationship Id="rId2" Type="http://schemas.microsoft.com/office/2011/relationships/chartColorStyle" Target="colors83.xml"/><Relationship Id="rId1" Type="http://schemas.microsoft.com/office/2011/relationships/chartStyle" Target="style83.xml"/></Relationships>
</file>

<file path=xl/charts/_rels/chart8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4.xml"/><Relationship Id="rId2" Type="http://schemas.microsoft.com/office/2011/relationships/chartColorStyle" Target="colors84.xml"/><Relationship Id="rId1" Type="http://schemas.microsoft.com/office/2011/relationships/chartStyle" Target="style84.xml"/></Relationships>
</file>

<file path=xl/charts/_rels/chart8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6.xml"/><Relationship Id="rId2" Type="http://schemas.microsoft.com/office/2011/relationships/chartColorStyle" Target="colors85.xml"/><Relationship Id="rId1" Type="http://schemas.microsoft.com/office/2011/relationships/chartStyle" Target="style85.xml"/></Relationships>
</file>

<file path=xl/charts/_rels/chart8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7.xml"/><Relationship Id="rId2" Type="http://schemas.microsoft.com/office/2011/relationships/chartColorStyle" Target="colors86.xml"/><Relationship Id="rId1" Type="http://schemas.microsoft.com/office/2011/relationships/chartStyle" Target="style86.xml"/></Relationships>
</file>

<file path=xl/charts/_rels/chart87.xml.rels><?xml version="1.0" encoding="UTF-8" standalone="yes"?>
<Relationships xmlns="http://schemas.openxmlformats.org/package/2006/relationships"><Relationship Id="rId2" Type="http://schemas.microsoft.com/office/2011/relationships/chartColorStyle" Target="colors87.xml"/><Relationship Id="rId1" Type="http://schemas.microsoft.com/office/2011/relationships/chartStyle" Target="style87.xml"/></Relationships>
</file>

<file path=xl/charts/_rels/chart8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9.xml"/><Relationship Id="rId2" Type="http://schemas.microsoft.com/office/2011/relationships/chartColorStyle" Target="colors88.xml"/><Relationship Id="rId1" Type="http://schemas.microsoft.com/office/2011/relationships/chartStyle" Target="style88.xml"/></Relationships>
</file>

<file path=xl/charts/_rels/chart8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0.xml"/><Relationship Id="rId2" Type="http://schemas.microsoft.com/office/2011/relationships/chartColorStyle" Target="colors89.xml"/><Relationship Id="rId1" Type="http://schemas.microsoft.com/office/2011/relationships/chartStyle" Target="style8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0.xml.rels><?xml version="1.0" encoding="UTF-8" standalone="yes"?>
<Relationships xmlns="http://schemas.openxmlformats.org/package/2006/relationships"><Relationship Id="rId2" Type="http://schemas.microsoft.com/office/2011/relationships/chartColorStyle" Target="colors90.xml"/><Relationship Id="rId1" Type="http://schemas.microsoft.com/office/2011/relationships/chartStyle" Target="style90.xml"/></Relationships>
</file>

<file path=xl/charts/_rels/chart9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2.xml"/><Relationship Id="rId2" Type="http://schemas.microsoft.com/office/2011/relationships/chartColorStyle" Target="colors91.xml"/><Relationship Id="rId1" Type="http://schemas.microsoft.com/office/2011/relationships/chartStyle" Target="style91.xml"/></Relationships>
</file>

<file path=xl/charts/_rels/chart9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3.xml"/><Relationship Id="rId2" Type="http://schemas.microsoft.com/office/2011/relationships/chartColorStyle" Target="colors92.xml"/><Relationship Id="rId1" Type="http://schemas.microsoft.com/office/2011/relationships/chartStyle" Target="style92.xml"/></Relationships>
</file>

<file path=xl/charts/_rels/chart93.xml.rels><?xml version="1.0" encoding="UTF-8" standalone="yes"?>
<Relationships xmlns="http://schemas.openxmlformats.org/package/2006/relationships"><Relationship Id="rId2" Type="http://schemas.microsoft.com/office/2011/relationships/chartColorStyle" Target="colors93.xml"/><Relationship Id="rId1" Type="http://schemas.microsoft.com/office/2011/relationships/chartStyle" Target="style93.xml"/></Relationships>
</file>

<file path=xl/charts/_rels/chart9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5.xml"/><Relationship Id="rId2" Type="http://schemas.microsoft.com/office/2011/relationships/chartColorStyle" Target="colors94.xml"/><Relationship Id="rId1" Type="http://schemas.microsoft.com/office/2011/relationships/chartStyle" Target="style94.xml"/></Relationships>
</file>

<file path=xl/charts/_rels/chart9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6.xml"/><Relationship Id="rId2" Type="http://schemas.microsoft.com/office/2011/relationships/chartColorStyle" Target="colors95.xml"/><Relationship Id="rId1" Type="http://schemas.microsoft.com/office/2011/relationships/chartStyle" Target="style95.xml"/></Relationships>
</file>

<file path=xl/charts/_rels/chart96.xml.rels><?xml version="1.0" encoding="UTF-8" standalone="yes"?>
<Relationships xmlns="http://schemas.openxmlformats.org/package/2006/relationships"><Relationship Id="rId2" Type="http://schemas.microsoft.com/office/2011/relationships/chartColorStyle" Target="colors96.xml"/><Relationship Id="rId1" Type="http://schemas.microsoft.com/office/2011/relationships/chartStyle" Target="style96.xml"/></Relationships>
</file>

<file path=xl/charts/_rels/chart9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8.xml"/><Relationship Id="rId2" Type="http://schemas.microsoft.com/office/2011/relationships/chartColorStyle" Target="colors97.xml"/><Relationship Id="rId1" Type="http://schemas.microsoft.com/office/2011/relationships/chartStyle" Target="style97.xml"/></Relationships>
</file>

<file path=xl/charts/_rels/chart98.xml.rels><?xml version="1.0" encoding="UTF-8" standalone="yes"?>
<Relationships xmlns="http://schemas.openxmlformats.org/package/2006/relationships"><Relationship Id="rId2" Type="http://schemas.microsoft.com/office/2011/relationships/chartColorStyle" Target="colors98.xml"/><Relationship Id="rId1" Type="http://schemas.microsoft.com/office/2011/relationships/chartStyle" Target="style98.xml"/></Relationships>
</file>

<file path=xl/charts/_rels/chart9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9.xml"/><Relationship Id="rId2" Type="http://schemas.microsoft.com/office/2011/relationships/chartColorStyle" Target="colors99.xml"/><Relationship Id="rId1" Type="http://schemas.microsoft.com/office/2011/relationships/chartStyle" Target="style9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o-R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'DGA 30%'!$C$8:$AJ$8</c:f>
              <c:numCache>
                <c:formatCode>General</c:formatCode>
                <c:ptCount val="34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  <c:pt idx="6">
                  <c:v>1.1000000000000001</c:v>
                </c:pt>
                <c:pt idx="7">
                  <c:v>1.2</c:v>
                </c:pt>
                <c:pt idx="8">
                  <c:v>1.2576000000000001</c:v>
                </c:pt>
                <c:pt idx="9">
                  <c:v>1.3</c:v>
                </c:pt>
                <c:pt idx="10">
                  <c:v>1.4</c:v>
                </c:pt>
                <c:pt idx="11">
                  <c:v>1.5</c:v>
                </c:pt>
              </c:numCache>
            </c:numRef>
          </c:xVal>
          <c:yVal>
            <c:numRef>
              <c:f>'DGA 30%'!$C$19:$AJ$19</c:f>
              <c:numCache>
                <c:formatCode>General</c:formatCode>
                <c:ptCount val="34"/>
                <c:pt idx="0">
                  <c:v>824.87800000000004</c:v>
                </c:pt>
                <c:pt idx="1">
                  <c:v>1004.49</c:v>
                </c:pt>
                <c:pt idx="2">
                  <c:v>1184.94</c:v>
                </c:pt>
                <c:pt idx="3">
                  <c:v>1366.24</c:v>
                </c:pt>
                <c:pt idx="4">
                  <c:v>1548.35</c:v>
                </c:pt>
                <c:pt idx="5">
                  <c:v>1731.27</c:v>
                </c:pt>
                <c:pt idx="6">
                  <c:v>1915.06</c:v>
                </c:pt>
                <c:pt idx="7">
                  <c:v>2099.85</c:v>
                </c:pt>
                <c:pt idx="8">
                  <c:v>2206.96</c:v>
                </c:pt>
                <c:pt idx="9">
                  <c:v>2286.3200000000002</c:v>
                </c:pt>
                <c:pt idx="10">
                  <c:v>2480.7800000000002</c:v>
                </c:pt>
                <c:pt idx="11">
                  <c:v>2680.93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76DD-41CD-BB9C-DB6336B0C5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064664"/>
        <c:axId val="462072112"/>
      </c:scatterChart>
      <c:valAx>
        <c:axId val="462064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L/G, [kg_solvent chimic/kg_gaze de ardere]</a:t>
                </a:r>
                <a:endParaRPr lang="en-US" sz="10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462072112"/>
        <c:crosses val="autoZero"/>
        <c:crossBetween val="midCat"/>
      </c:valAx>
      <c:valAx>
        <c:axId val="462072112"/>
        <c:scaling>
          <c:orientation val="minMax"/>
          <c:min val="4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o-RO"/>
                  <a:t>Consumul</a:t>
                </a:r>
                <a:r>
                  <a:rPr lang="ro-RO" baseline="0"/>
                  <a:t> specific de energie termică, [GJ/tCO2Î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2.5867136978248089E-2"/>
              <c:y val="5.14619883040935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462064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o-R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'MDEA 30%'!$C$8:$AF$8</c:f>
              <c:numCache>
                <c:formatCode>General</c:formatCode>
                <c:ptCount val="30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2.5</c:v>
                </c:pt>
                <c:pt idx="12">
                  <c:v>3</c:v>
                </c:pt>
                <c:pt idx="13">
                  <c:v>3.5</c:v>
                </c:pt>
                <c:pt idx="14">
                  <c:v>4</c:v>
                </c:pt>
                <c:pt idx="15">
                  <c:v>4.5</c:v>
                </c:pt>
                <c:pt idx="16">
                  <c:v>5</c:v>
                </c:pt>
                <c:pt idx="17">
                  <c:v>5.2584999999999997</c:v>
                </c:pt>
                <c:pt idx="18">
                  <c:v>6</c:v>
                </c:pt>
              </c:numCache>
            </c:numRef>
          </c:xVal>
          <c:yVal>
            <c:numRef>
              <c:f>'MDEA 30%'!$C$12:$AF$12</c:f>
              <c:numCache>
                <c:formatCode>General</c:formatCode>
                <c:ptCount val="30"/>
                <c:pt idx="0">
                  <c:v>16.867042233713811</c:v>
                </c:pt>
                <c:pt idx="1">
                  <c:v>19.681713036555081</c:v>
                </c:pt>
                <c:pt idx="2">
                  <c:v>22.304024791115449</c:v>
                </c:pt>
                <c:pt idx="3">
                  <c:v>24.740373258090269</c:v>
                </c:pt>
                <c:pt idx="4">
                  <c:v>27.035466425497862</c:v>
                </c:pt>
                <c:pt idx="5">
                  <c:v>29.202395031603533</c:v>
                </c:pt>
                <c:pt idx="6">
                  <c:v>33.224356054117358</c:v>
                </c:pt>
                <c:pt idx="7">
                  <c:v>36.921242877079955</c:v>
                </c:pt>
                <c:pt idx="8">
                  <c:v>40.371674734301649</c:v>
                </c:pt>
                <c:pt idx="9">
                  <c:v>43.63463475219482</c:v>
                </c:pt>
                <c:pt idx="10">
                  <c:v>46.75142732682886</c:v>
                </c:pt>
                <c:pt idx="11">
                  <c:v>54.093735670316867</c:v>
                </c:pt>
                <c:pt idx="12">
                  <c:v>61.034420163826219</c:v>
                </c:pt>
                <c:pt idx="13">
                  <c:v>67.729048647427518</c:v>
                </c:pt>
                <c:pt idx="14">
                  <c:v>74.268096823588465</c:v>
                </c:pt>
                <c:pt idx="15">
                  <c:v>80.658758364670064</c:v>
                </c:pt>
                <c:pt idx="16">
                  <c:v>86.886059959570815</c:v>
                </c:pt>
                <c:pt idx="17">
                  <c:v>90.005678886933183</c:v>
                </c:pt>
                <c:pt idx="18">
                  <c:v>98.005567428647382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125D-4619-B47D-127A67AF8C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1356200"/>
        <c:axId val="461349536"/>
      </c:scatterChart>
      <c:valAx>
        <c:axId val="461356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L/G,</a:t>
                </a:r>
                <a:r>
                  <a:rPr lang="en-US" baseline="0"/>
                  <a:t> [kg_solvent chimic/kg_gaze de ardere]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461349536"/>
        <c:crosses val="autoZero"/>
        <c:crossBetween val="midCat"/>
      </c:valAx>
      <c:valAx>
        <c:axId val="46134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Eficien</a:t>
                </a:r>
                <a:r>
                  <a:rPr lang="ro-RO"/>
                  <a:t>ța</a:t>
                </a:r>
                <a:r>
                  <a:rPr lang="ro-RO" baseline="0"/>
                  <a:t> de captare, [%]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461356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  <c:userShapes r:id="rId3"/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o-R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528586100650461"/>
          <c:y val="3.6866359447004608E-2"/>
          <c:w val="0.78842751001600708"/>
          <c:h val="0.74468522079901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'MEA 10% + MDEA 20%'!$C$8:$AD$8</c:f>
              <c:numCache>
                <c:formatCode>General</c:formatCode>
                <c:ptCount val="28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  <c:pt idx="6">
                  <c:v>1.1000000000000001</c:v>
                </c:pt>
                <c:pt idx="7">
                  <c:v>1.2</c:v>
                </c:pt>
                <c:pt idx="8">
                  <c:v>1.3</c:v>
                </c:pt>
                <c:pt idx="9">
                  <c:v>1.4</c:v>
                </c:pt>
                <c:pt idx="10">
                  <c:v>1.5</c:v>
                </c:pt>
                <c:pt idx="11">
                  <c:v>1.6</c:v>
                </c:pt>
                <c:pt idx="12">
                  <c:v>1.7</c:v>
                </c:pt>
                <c:pt idx="13">
                  <c:v>1.8</c:v>
                </c:pt>
                <c:pt idx="14">
                  <c:v>1.9</c:v>
                </c:pt>
                <c:pt idx="15">
                  <c:v>2</c:v>
                </c:pt>
                <c:pt idx="16">
                  <c:v>2.1</c:v>
                </c:pt>
                <c:pt idx="17">
                  <c:v>2.2000000000000002</c:v>
                </c:pt>
                <c:pt idx="18">
                  <c:v>2.2999999999999998</c:v>
                </c:pt>
                <c:pt idx="19">
                  <c:v>2.3925999999999998</c:v>
                </c:pt>
                <c:pt idx="20">
                  <c:v>2.5</c:v>
                </c:pt>
                <c:pt idx="21">
                  <c:v>2.6</c:v>
                </c:pt>
                <c:pt idx="22">
                  <c:v>2.7</c:v>
                </c:pt>
              </c:numCache>
            </c:numRef>
          </c:xVal>
          <c:yVal>
            <c:numRef>
              <c:f>'MEA 10% + MDEA 20%'!$C$19:$AD$19</c:f>
              <c:numCache>
                <c:formatCode>General</c:formatCode>
                <c:ptCount val="28"/>
                <c:pt idx="0">
                  <c:v>713.49699999999996</c:v>
                </c:pt>
                <c:pt idx="1">
                  <c:v>859.42700000000002</c:v>
                </c:pt>
                <c:pt idx="2">
                  <c:v>1005.94</c:v>
                </c:pt>
                <c:pt idx="3">
                  <c:v>1153.02</c:v>
                </c:pt>
                <c:pt idx="4">
                  <c:v>1300.57</c:v>
                </c:pt>
                <c:pt idx="5">
                  <c:v>1448.53</c:v>
                </c:pt>
                <c:pt idx="6">
                  <c:v>1596.95</c:v>
                </c:pt>
                <c:pt idx="7">
                  <c:v>1745.67</c:v>
                </c:pt>
                <c:pt idx="8">
                  <c:v>1894.7</c:v>
                </c:pt>
                <c:pt idx="9">
                  <c:v>2043.9</c:v>
                </c:pt>
                <c:pt idx="10">
                  <c:v>2192.81</c:v>
                </c:pt>
                <c:pt idx="11">
                  <c:v>2340.0500000000002</c:v>
                </c:pt>
                <c:pt idx="12">
                  <c:v>2484.85</c:v>
                </c:pt>
                <c:pt idx="13">
                  <c:v>2626.69</c:v>
                </c:pt>
                <c:pt idx="14">
                  <c:v>2767.41</c:v>
                </c:pt>
                <c:pt idx="15">
                  <c:v>2907.5</c:v>
                </c:pt>
                <c:pt idx="16">
                  <c:v>3047.07</c:v>
                </c:pt>
                <c:pt idx="17">
                  <c:v>3186.2</c:v>
                </c:pt>
                <c:pt idx="18">
                  <c:v>3324.82</c:v>
                </c:pt>
                <c:pt idx="19">
                  <c:v>3452.65</c:v>
                </c:pt>
                <c:pt idx="20">
                  <c:v>3600.27</c:v>
                </c:pt>
                <c:pt idx="21">
                  <c:v>3736.68</c:v>
                </c:pt>
                <c:pt idx="22">
                  <c:v>3871.12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76DD-41CD-BB9C-DB6336B0C5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366024"/>
        <c:axId val="490375824"/>
      </c:scatterChart>
      <c:valAx>
        <c:axId val="490366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L/G, [kg_solvent chimic/kg_gaze de ardere]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490375824"/>
        <c:crosses val="autoZero"/>
        <c:crossBetween val="midCat"/>
      </c:valAx>
      <c:valAx>
        <c:axId val="490375824"/>
        <c:scaling>
          <c:orientation val="minMax"/>
          <c:min val="4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o-RO"/>
                  <a:t>Consumul</a:t>
                </a:r>
                <a:r>
                  <a:rPr lang="ro-RO" baseline="0"/>
                  <a:t> specific de energie termică, [GJ/tCO2Î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2.5867136978248089E-2"/>
              <c:y val="5.14619883040935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490366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  <c:userShapes r:id="rId3"/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o-R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280314960629922"/>
          <c:y val="5.2256532066508314E-2"/>
          <c:w val="0.76893307086614171"/>
          <c:h val="0.73680139151252177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'MEA 10% + MDEA 20%'!$C$8:$AD$8</c:f>
              <c:numCache>
                <c:formatCode>General</c:formatCode>
                <c:ptCount val="28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  <c:pt idx="6">
                  <c:v>1.1000000000000001</c:v>
                </c:pt>
                <c:pt idx="7">
                  <c:v>1.2</c:v>
                </c:pt>
                <c:pt idx="8">
                  <c:v>1.3</c:v>
                </c:pt>
                <c:pt idx="9">
                  <c:v>1.4</c:v>
                </c:pt>
                <c:pt idx="10">
                  <c:v>1.5</c:v>
                </c:pt>
                <c:pt idx="11">
                  <c:v>1.6</c:v>
                </c:pt>
                <c:pt idx="12">
                  <c:v>1.7</c:v>
                </c:pt>
                <c:pt idx="13">
                  <c:v>1.8</c:v>
                </c:pt>
                <c:pt idx="14">
                  <c:v>1.9</c:v>
                </c:pt>
                <c:pt idx="15">
                  <c:v>2</c:v>
                </c:pt>
                <c:pt idx="16">
                  <c:v>2.1</c:v>
                </c:pt>
                <c:pt idx="17">
                  <c:v>2.2000000000000002</c:v>
                </c:pt>
                <c:pt idx="18">
                  <c:v>2.2999999999999998</c:v>
                </c:pt>
                <c:pt idx="19">
                  <c:v>2.3925999999999998</c:v>
                </c:pt>
                <c:pt idx="20">
                  <c:v>2.5</c:v>
                </c:pt>
                <c:pt idx="21">
                  <c:v>2.6</c:v>
                </c:pt>
                <c:pt idx="22">
                  <c:v>2.7</c:v>
                </c:pt>
              </c:numCache>
            </c:numRef>
          </c:xVal>
          <c:yVal>
            <c:numRef>
              <c:f>'MEA 10% + MDEA 20%'!$C$16:$AD$16</c:f>
              <c:numCache>
                <c:formatCode>General</c:formatCode>
                <c:ptCount val="28"/>
                <c:pt idx="0">
                  <c:v>0.51445415099631642</c:v>
                </c:pt>
                <c:pt idx="1">
                  <c:v>0.50797586490190394</c:v>
                </c:pt>
                <c:pt idx="2">
                  <c:v>0.50100257854669639</c:v>
                </c:pt>
                <c:pt idx="3">
                  <c:v>0.49388439024805436</c:v>
                </c:pt>
                <c:pt idx="4">
                  <c:v>0.48686648151993667</c:v>
                </c:pt>
                <c:pt idx="5">
                  <c:v>0.48000387046717075</c:v>
                </c:pt>
                <c:pt idx="6">
                  <c:v>0.47340631264671473</c:v>
                </c:pt>
                <c:pt idx="7">
                  <c:v>0.46708859045717355</c:v>
                </c:pt>
                <c:pt idx="8">
                  <c:v>0.46104771772316794</c:v>
                </c:pt>
                <c:pt idx="9">
                  <c:v>0.45528150040254273</c:v>
                </c:pt>
                <c:pt idx="10">
                  <c:v>0.44979032429550275</c:v>
                </c:pt>
                <c:pt idx="11">
                  <c:v>0.4445458631616358</c:v>
                </c:pt>
                <c:pt idx="12">
                  <c:v>0.43954727699664131</c:v>
                </c:pt>
                <c:pt idx="13">
                  <c:v>0.43476637722173345</c:v>
                </c:pt>
                <c:pt idx="14">
                  <c:v>0.43017642674151424</c:v>
                </c:pt>
                <c:pt idx="15">
                  <c:v>0.42575256909252079</c:v>
                </c:pt>
                <c:pt idx="16">
                  <c:v>0.42147475874325485</c:v>
                </c:pt>
                <c:pt idx="17">
                  <c:v>0.41734871193362005</c:v>
                </c:pt>
                <c:pt idx="18">
                  <c:v>0.41329114219925445</c:v>
                </c:pt>
                <c:pt idx="19">
                  <c:v>0.409552922660254</c:v>
                </c:pt>
                <c:pt idx="20">
                  <c:v>0.40518929835347334</c:v>
                </c:pt>
                <c:pt idx="21">
                  <c:v>0.40089927293071298</c:v>
                </c:pt>
                <c:pt idx="22">
                  <c:v>0.39590081742036437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913E-42E4-98C7-375C138D41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373864"/>
        <c:axId val="490377000"/>
      </c:scatterChart>
      <c:valAx>
        <c:axId val="490373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L/G, [kg_solvent chimic/kg_gaze de ardere]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490377000"/>
        <c:crosses val="autoZero"/>
        <c:crossBetween val="midCat"/>
      </c:valAx>
      <c:valAx>
        <c:axId val="490377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Grad </a:t>
                </a:r>
                <a:r>
                  <a:rPr lang="ro-RO" baseline="0"/>
                  <a:t>încărcare solvent bogat în CO</a:t>
                </a:r>
                <a:r>
                  <a:rPr lang="ro-RO" baseline="-25000"/>
                  <a:t>2</a:t>
                </a:r>
                <a:r>
                  <a:rPr lang="ro-RO" baseline="0"/>
                  <a:t>, [molCO2/molamină]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490373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  <c:userShapes r:id="rId3"/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o-R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'MEA 10% + MDEA 20%'!$C$8:$AD$8</c:f>
              <c:numCache>
                <c:formatCode>General</c:formatCode>
                <c:ptCount val="28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  <c:pt idx="6">
                  <c:v>1.1000000000000001</c:v>
                </c:pt>
                <c:pt idx="7">
                  <c:v>1.2</c:v>
                </c:pt>
                <c:pt idx="8">
                  <c:v>1.3</c:v>
                </c:pt>
                <c:pt idx="9">
                  <c:v>1.4</c:v>
                </c:pt>
                <c:pt idx="10">
                  <c:v>1.5</c:v>
                </c:pt>
                <c:pt idx="11">
                  <c:v>1.6</c:v>
                </c:pt>
                <c:pt idx="12">
                  <c:v>1.7</c:v>
                </c:pt>
                <c:pt idx="13">
                  <c:v>1.8</c:v>
                </c:pt>
                <c:pt idx="14">
                  <c:v>1.9</c:v>
                </c:pt>
                <c:pt idx="15">
                  <c:v>2</c:v>
                </c:pt>
                <c:pt idx="16">
                  <c:v>2.1</c:v>
                </c:pt>
                <c:pt idx="17">
                  <c:v>2.2000000000000002</c:v>
                </c:pt>
                <c:pt idx="18">
                  <c:v>2.2999999999999998</c:v>
                </c:pt>
                <c:pt idx="19">
                  <c:v>2.3925999999999998</c:v>
                </c:pt>
                <c:pt idx="20">
                  <c:v>2.5</c:v>
                </c:pt>
                <c:pt idx="21">
                  <c:v>2.6</c:v>
                </c:pt>
                <c:pt idx="22">
                  <c:v>2.7</c:v>
                </c:pt>
              </c:numCache>
            </c:numRef>
          </c:xVal>
          <c:yVal>
            <c:numRef>
              <c:f>'MEA 10% + MDEA 20%'!$C$12:$AD$12</c:f>
              <c:numCache>
                <c:formatCode>General</c:formatCode>
                <c:ptCount val="28"/>
                <c:pt idx="0">
                  <c:v>23.630490598481117</c:v>
                </c:pt>
                <c:pt idx="1">
                  <c:v>27.999206576587422</c:v>
                </c:pt>
                <c:pt idx="2">
                  <c:v>32.217029978289325</c:v>
                </c:pt>
                <c:pt idx="3">
                  <c:v>36.296041684900196</c:v>
                </c:pt>
                <c:pt idx="4">
                  <c:v>40.252511613978314</c:v>
                </c:pt>
                <c:pt idx="5">
                  <c:v>44.094306675852629</c:v>
                </c:pt>
                <c:pt idx="6">
                  <c:v>47.836774202717933</c:v>
                </c:pt>
                <c:pt idx="7">
                  <c:v>51.488840831334194</c:v>
                </c:pt>
                <c:pt idx="8">
                  <c:v>55.05789971197882</c:v>
                </c:pt>
                <c:pt idx="9">
                  <c:v>58.551244255971056</c:v>
                </c:pt>
                <c:pt idx="10">
                  <c:v>61.976591765202514</c:v>
                </c:pt>
                <c:pt idx="11">
                  <c:v>65.337308429512845</c:v>
                </c:pt>
                <c:pt idx="12">
                  <c:v>68.639927150664931</c:v>
                </c:pt>
                <c:pt idx="13">
                  <c:v>71.886766859437131</c:v>
                </c:pt>
                <c:pt idx="14">
                  <c:v>75.078987021218708</c:v>
                </c:pt>
                <c:pt idx="15">
                  <c:v>78.217348145566007</c:v>
                </c:pt>
                <c:pt idx="16">
                  <c:v>81.302486068337643</c:v>
                </c:pt>
                <c:pt idx="17">
                  <c:v>84.33964955220948</c:v>
                </c:pt>
                <c:pt idx="18">
                  <c:v>87.315161892536764</c:v>
                </c:pt>
                <c:pt idx="19">
                  <c:v>90.007995324237626</c:v>
                </c:pt>
                <c:pt idx="20">
                  <c:v>93.044643905737701</c:v>
                </c:pt>
                <c:pt idx="21">
                  <c:v>95.73941351996487</c:v>
                </c:pt>
                <c:pt idx="22">
                  <c:v>98.177283006052406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125D-4619-B47D-127A67AF8C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372296"/>
        <c:axId val="490370728"/>
      </c:scatterChart>
      <c:valAx>
        <c:axId val="490372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L/G,</a:t>
                </a:r>
                <a:r>
                  <a:rPr lang="en-US" baseline="0"/>
                  <a:t> [kg_solvent chimic/kg_gaze de ardere]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490370728"/>
        <c:crosses val="autoZero"/>
        <c:crossBetween val="midCat"/>
      </c:valAx>
      <c:valAx>
        <c:axId val="490370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Eficien</a:t>
                </a:r>
                <a:r>
                  <a:rPr lang="ro-RO"/>
                  <a:t>ța</a:t>
                </a:r>
                <a:r>
                  <a:rPr lang="ro-RO" baseline="0"/>
                  <a:t> de captare, [%]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490372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o-R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528586100650461"/>
          <c:y val="3.6866359447004608E-2"/>
          <c:w val="0.78842751001600708"/>
          <c:h val="0.74468522079901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'DEA 10% + MDEA 20%'!$C$8:$AD$8</c:f>
              <c:numCache>
                <c:formatCode>General</c:formatCode>
                <c:ptCount val="28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3.7229000000000001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</c:numCache>
            </c:numRef>
          </c:xVal>
          <c:yVal>
            <c:numRef>
              <c:f>'DEA 10% + MDEA 20%'!$C$19:$AD$19</c:f>
              <c:numCache>
                <c:formatCode>General</c:formatCode>
                <c:ptCount val="28"/>
                <c:pt idx="0">
                  <c:v>555.57299999999998</c:v>
                </c:pt>
                <c:pt idx="1">
                  <c:v>669.98400000000004</c:v>
                </c:pt>
                <c:pt idx="2">
                  <c:v>784.99400000000003</c:v>
                </c:pt>
                <c:pt idx="3">
                  <c:v>900.47699999999998</c:v>
                </c:pt>
                <c:pt idx="4">
                  <c:v>1016.51</c:v>
                </c:pt>
                <c:pt idx="5">
                  <c:v>1132.9100000000001</c:v>
                </c:pt>
                <c:pt idx="6">
                  <c:v>1366.83</c:v>
                </c:pt>
                <c:pt idx="7">
                  <c:v>1601.94</c:v>
                </c:pt>
                <c:pt idx="8">
                  <c:v>1837.65</c:v>
                </c:pt>
                <c:pt idx="9">
                  <c:v>2071.34</c:v>
                </c:pt>
                <c:pt idx="10">
                  <c:v>2293.54</c:v>
                </c:pt>
                <c:pt idx="11">
                  <c:v>2509.14</c:v>
                </c:pt>
                <c:pt idx="12">
                  <c:v>2722.75</c:v>
                </c:pt>
                <c:pt idx="13">
                  <c:v>2934.77</c:v>
                </c:pt>
                <c:pt idx="14">
                  <c:v>3146.95</c:v>
                </c:pt>
                <c:pt idx="15">
                  <c:v>3356</c:v>
                </c:pt>
                <c:pt idx="16">
                  <c:v>3565.11</c:v>
                </c:pt>
                <c:pt idx="17">
                  <c:v>3773.25</c:v>
                </c:pt>
                <c:pt idx="18">
                  <c:v>3980.21</c:v>
                </c:pt>
                <c:pt idx="19">
                  <c:v>4106.92</c:v>
                </c:pt>
                <c:pt idx="20">
                  <c:v>4390.18</c:v>
                </c:pt>
                <c:pt idx="21">
                  <c:v>4591.2</c:v>
                </c:pt>
                <c:pt idx="22">
                  <c:v>4785.4799999999996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76DD-41CD-BB9C-DB6336B0C5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374256"/>
        <c:axId val="490369552"/>
      </c:scatterChart>
      <c:valAx>
        <c:axId val="490374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L/G, [kg_solvent chimic/kg_gaze de ardere]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490369552"/>
        <c:crosses val="autoZero"/>
        <c:crossBetween val="midCat"/>
      </c:valAx>
      <c:valAx>
        <c:axId val="490369552"/>
        <c:scaling>
          <c:orientation val="minMax"/>
          <c:min val="4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o-RO"/>
                  <a:t>Consumul</a:t>
                </a:r>
                <a:r>
                  <a:rPr lang="ro-RO" baseline="0"/>
                  <a:t> specific de energie termică, [GJ/tCO2Î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2.5867136978248089E-2"/>
              <c:y val="5.14619883040935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490374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  <c:userShapes r:id="rId3"/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o-R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280314960629922"/>
          <c:y val="5.2256532066508314E-2"/>
          <c:w val="0.76893307086614171"/>
          <c:h val="0.73680139151252177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'DEA 10% + MDEA 20%'!$C$8:$AD$8</c:f>
              <c:numCache>
                <c:formatCode>General</c:formatCode>
                <c:ptCount val="28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3.7229000000000001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</c:numCache>
            </c:numRef>
          </c:xVal>
          <c:yVal>
            <c:numRef>
              <c:f>'DEA 10% + MDEA 20%'!$C$16:$AD$16</c:f>
              <c:numCache>
                <c:formatCode>General</c:formatCode>
                <c:ptCount val="28"/>
                <c:pt idx="0">
                  <c:v>0.52360216005985705</c:v>
                </c:pt>
                <c:pt idx="1">
                  <c:v>0.51381089755898957</c:v>
                </c:pt>
                <c:pt idx="2">
                  <c:v>0.50339828473730752</c:v>
                </c:pt>
                <c:pt idx="3">
                  <c:v>0.49299023040336432</c:v>
                </c:pt>
                <c:pt idx="4">
                  <c:v>0.48273394363228644</c:v>
                </c:pt>
                <c:pt idx="5">
                  <c:v>0.47289404266246171</c:v>
                </c:pt>
                <c:pt idx="6">
                  <c:v>0.45454189474223217</c:v>
                </c:pt>
                <c:pt idx="7">
                  <c:v>0.43811215372417045</c:v>
                </c:pt>
                <c:pt idx="8">
                  <c:v>0.42343974976299431</c:v>
                </c:pt>
                <c:pt idx="9">
                  <c:v>0.41033838468015832</c:v>
                </c:pt>
                <c:pt idx="10">
                  <c:v>0.39862190530932351</c:v>
                </c:pt>
                <c:pt idx="11">
                  <c:v>0.3880498671241448</c:v>
                </c:pt>
                <c:pt idx="12">
                  <c:v>0.37850304396977713</c:v>
                </c:pt>
                <c:pt idx="13">
                  <c:v>0.36979996628742917</c:v>
                </c:pt>
                <c:pt idx="14">
                  <c:v>0.3618756447811321</c:v>
                </c:pt>
                <c:pt idx="15">
                  <c:v>0.35456663974172131</c:v>
                </c:pt>
                <c:pt idx="16">
                  <c:v>0.34778432258002262</c:v>
                </c:pt>
                <c:pt idx="17">
                  <c:v>0.34142600639230958</c:v>
                </c:pt>
                <c:pt idx="18">
                  <c:v>0.33539146470232889</c:v>
                </c:pt>
                <c:pt idx="19">
                  <c:v>0.3317818663437922</c:v>
                </c:pt>
                <c:pt idx="20">
                  <c:v>0.32369073062755349</c:v>
                </c:pt>
                <c:pt idx="21">
                  <c:v>0.31742164745410822</c:v>
                </c:pt>
                <c:pt idx="22">
                  <c:v>0.30971821394764887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913E-42E4-98C7-375C138D41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365240"/>
        <c:axId val="490365632"/>
      </c:scatterChart>
      <c:valAx>
        <c:axId val="490365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L/G, [kg_solvent chimic/kg_gaze de ardere]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490365632"/>
        <c:crosses val="autoZero"/>
        <c:crossBetween val="midCat"/>
      </c:valAx>
      <c:valAx>
        <c:axId val="49036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Grad </a:t>
                </a:r>
                <a:r>
                  <a:rPr lang="ro-RO" baseline="0"/>
                  <a:t>încărcare solvent bogat în CO</a:t>
                </a:r>
                <a:r>
                  <a:rPr lang="ro-RO" baseline="-25000"/>
                  <a:t>2</a:t>
                </a:r>
                <a:r>
                  <a:rPr lang="ro-RO" baseline="0"/>
                  <a:t>, [molCO2/molamină]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490365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  <c:userShapes r:id="rId3"/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o-R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'DEA 10% + MDEA 20%'!$C$8:$AD$8</c:f>
              <c:numCache>
                <c:formatCode>General</c:formatCode>
                <c:ptCount val="28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3.7229000000000001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</c:numCache>
            </c:numRef>
          </c:xVal>
          <c:yVal>
            <c:numRef>
              <c:f>'DEA 10% + MDEA 20%'!$C$12:$AD$12</c:f>
              <c:numCache>
                <c:formatCode>0.00</c:formatCode>
                <c:ptCount val="28"/>
                <c:pt idx="0">
                  <c:v>19.075836267528803</c:v>
                </c:pt>
                <c:pt idx="1">
                  <c:v>22.462908951546563</c:v>
                </c:pt>
                <c:pt idx="2">
                  <c:v>25.675625469240625</c:v>
                </c:pt>
                <c:pt idx="3">
                  <c:v>28.736838509411243</c:v>
                </c:pt>
                <c:pt idx="4">
                  <c:v>31.656359892072466</c:v>
                </c:pt>
                <c:pt idx="5">
                  <c:v>34.456792958629038</c:v>
                </c:pt>
                <c:pt idx="6">
                  <c:v>39.743481373375531</c:v>
                </c:pt>
                <c:pt idx="7">
                  <c:v>44.691431351295819</c:v>
                </c:pt>
                <c:pt idx="8">
                  <c:v>49.365448280487897</c:v>
                </c:pt>
                <c:pt idx="9">
                  <c:v>53.817895114012849</c:v>
                </c:pt>
                <c:pt idx="10">
                  <c:v>58.090288193226279</c:v>
                </c:pt>
                <c:pt idx="11">
                  <c:v>62.204694762632492</c:v>
                </c:pt>
                <c:pt idx="12">
                  <c:v>66.190251065399082</c:v>
                </c:pt>
                <c:pt idx="13">
                  <c:v>70.057442159508028</c:v>
                </c:pt>
                <c:pt idx="14">
                  <c:v>73.82984384120661</c:v>
                </c:pt>
                <c:pt idx="15">
                  <c:v>77.505773015574988</c:v>
                </c:pt>
                <c:pt idx="16">
                  <c:v>81.091488302240961</c:v>
                </c:pt>
                <c:pt idx="17">
                  <c:v>84.584645835686558</c:v>
                </c:pt>
                <c:pt idx="18">
                  <c:v>87.977311381786024</c:v>
                </c:pt>
                <c:pt idx="19">
                  <c:v>90.001665640602141</c:v>
                </c:pt>
                <c:pt idx="20">
                  <c:v>94.342532008101799</c:v>
                </c:pt>
                <c:pt idx="21">
                  <c:v>97.141174760358453</c:v>
                </c:pt>
                <c:pt idx="22">
                  <c:v>99.29738491931991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125D-4619-B47D-127A67AF8C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369944"/>
        <c:axId val="490367200"/>
      </c:scatterChart>
      <c:valAx>
        <c:axId val="490369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L/G,</a:t>
                </a:r>
                <a:r>
                  <a:rPr lang="en-US" baseline="0"/>
                  <a:t> [kg_solvent chimic/kg_gaze de ardere]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490367200"/>
        <c:crosses val="autoZero"/>
        <c:crossBetween val="midCat"/>
      </c:valAx>
      <c:valAx>
        <c:axId val="49036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Eficien</a:t>
                </a:r>
                <a:r>
                  <a:rPr lang="ro-RO"/>
                  <a:t>ța</a:t>
                </a:r>
                <a:r>
                  <a:rPr lang="ro-RO" baseline="0"/>
                  <a:t> de captare, [%]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490369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o-R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280314960629922"/>
          <c:y val="5.2256532066508314E-2"/>
          <c:w val="0.76893307086614171"/>
          <c:h val="0.73680139151252177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'MDEA 30%'!$C$8:$AF$8</c:f>
              <c:numCache>
                <c:formatCode>General</c:formatCode>
                <c:ptCount val="30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2.5</c:v>
                </c:pt>
                <c:pt idx="12">
                  <c:v>3</c:v>
                </c:pt>
                <c:pt idx="13">
                  <c:v>3.5</c:v>
                </c:pt>
                <c:pt idx="14">
                  <c:v>4</c:v>
                </c:pt>
                <c:pt idx="15">
                  <c:v>4.5</c:v>
                </c:pt>
                <c:pt idx="16">
                  <c:v>5</c:v>
                </c:pt>
                <c:pt idx="17">
                  <c:v>5.2584999999999997</c:v>
                </c:pt>
                <c:pt idx="18">
                  <c:v>6</c:v>
                </c:pt>
              </c:numCache>
            </c:numRef>
          </c:xVal>
          <c:yVal>
            <c:numRef>
              <c:f>'MDEA 30%'!$C$16:$AF$16</c:f>
              <c:numCache>
                <c:formatCode>General</c:formatCode>
                <c:ptCount val="30"/>
                <c:pt idx="0">
                  <c:v>0.48356906178858305</c:v>
                </c:pt>
                <c:pt idx="1">
                  <c:v>0.47022074004742781</c:v>
                </c:pt>
                <c:pt idx="2">
                  <c:v>0.45674652850071612</c:v>
                </c:pt>
                <c:pt idx="3">
                  <c:v>0.44330858381082344</c:v>
                </c:pt>
                <c:pt idx="4">
                  <c:v>0.43060762201729669</c:v>
                </c:pt>
                <c:pt idx="5">
                  <c:v>0.41860926975217944</c:v>
                </c:pt>
                <c:pt idx="6">
                  <c:v>0.39688540310037379</c:v>
                </c:pt>
                <c:pt idx="7">
                  <c:v>0.37803941749612779</c:v>
                </c:pt>
                <c:pt idx="8">
                  <c:v>0.36169715119434326</c:v>
                </c:pt>
                <c:pt idx="9">
                  <c:v>0.34749307637788601</c:v>
                </c:pt>
                <c:pt idx="10">
                  <c:v>0.33508234332705816</c:v>
                </c:pt>
                <c:pt idx="11">
                  <c:v>0.31016435486758265</c:v>
                </c:pt>
                <c:pt idx="12">
                  <c:v>0.2916331084935736</c:v>
                </c:pt>
                <c:pt idx="13">
                  <c:v>0.27738888871410727</c:v>
                </c:pt>
                <c:pt idx="14">
                  <c:v>0.26614814331253522</c:v>
                </c:pt>
                <c:pt idx="15">
                  <c:v>0.25693250594429529</c:v>
                </c:pt>
                <c:pt idx="16">
                  <c:v>0.24909173564379172</c:v>
                </c:pt>
                <c:pt idx="17">
                  <c:v>0.24535048038754073</c:v>
                </c:pt>
                <c:pt idx="18">
                  <c:v>0.2341408864120246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913E-42E4-98C7-375C138D41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1354240"/>
        <c:axId val="461355808"/>
      </c:scatterChart>
      <c:valAx>
        <c:axId val="46135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L/G, [kg_solvent chimic/kg_gaze de ardere]</a:t>
                </a:r>
                <a:endParaRPr lang="en-US" sz="10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461355808"/>
        <c:crosses val="autoZero"/>
        <c:crossBetween val="midCat"/>
      </c:valAx>
      <c:valAx>
        <c:axId val="46135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Grad </a:t>
                </a:r>
                <a:r>
                  <a:rPr lang="ro-RO" baseline="0"/>
                  <a:t>încărcare solvent bogat în CO</a:t>
                </a:r>
                <a:r>
                  <a:rPr lang="ro-RO" baseline="-25000"/>
                  <a:t>2</a:t>
                </a:r>
                <a:r>
                  <a:rPr lang="ro-RO" baseline="0"/>
                  <a:t>, [molCO2/molamină]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46135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  <c:userShapes r:id="rId3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o-R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'DEA 30%'!$C$8:$AL$8</c:f>
              <c:numCache>
                <c:formatCode>General</c:formatCode>
                <c:ptCount val="36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  <c:pt idx="6">
                  <c:v>1.1000000000000001</c:v>
                </c:pt>
                <c:pt idx="7">
                  <c:v>1.2</c:v>
                </c:pt>
                <c:pt idx="8">
                  <c:v>1.3</c:v>
                </c:pt>
                <c:pt idx="9">
                  <c:v>1.4</c:v>
                </c:pt>
                <c:pt idx="10">
                  <c:v>1.5</c:v>
                </c:pt>
                <c:pt idx="11">
                  <c:v>1.6</c:v>
                </c:pt>
                <c:pt idx="12">
                  <c:v>1.7</c:v>
                </c:pt>
                <c:pt idx="13">
                  <c:v>1.8</c:v>
                </c:pt>
                <c:pt idx="14">
                  <c:v>1.9</c:v>
                </c:pt>
                <c:pt idx="15">
                  <c:v>2</c:v>
                </c:pt>
                <c:pt idx="16">
                  <c:v>2.1</c:v>
                </c:pt>
                <c:pt idx="17">
                  <c:v>2.2000000000000002</c:v>
                </c:pt>
                <c:pt idx="18">
                  <c:v>2.2999999999999998</c:v>
                </c:pt>
                <c:pt idx="19">
                  <c:v>2.3580000000000001</c:v>
                </c:pt>
                <c:pt idx="20">
                  <c:v>2.5</c:v>
                </c:pt>
                <c:pt idx="21">
                  <c:v>2.6</c:v>
                </c:pt>
                <c:pt idx="22">
                  <c:v>2.7</c:v>
                </c:pt>
                <c:pt idx="23">
                  <c:v>2.8</c:v>
                </c:pt>
                <c:pt idx="24">
                  <c:v>2.9</c:v>
                </c:pt>
              </c:numCache>
            </c:numRef>
          </c:xVal>
          <c:yVal>
            <c:numRef>
              <c:f>'DEA 30%'!$C$19:$AL$19</c:f>
              <c:numCache>
                <c:formatCode>General</c:formatCode>
                <c:ptCount val="36"/>
                <c:pt idx="0">
                  <c:v>594.48400000000004</c:v>
                </c:pt>
                <c:pt idx="1">
                  <c:v>716.21699999999998</c:v>
                </c:pt>
                <c:pt idx="2">
                  <c:v>838.41399999999999</c:v>
                </c:pt>
                <c:pt idx="3">
                  <c:v>961.19799999999998</c:v>
                </c:pt>
                <c:pt idx="4">
                  <c:v>1084.44</c:v>
                </c:pt>
                <c:pt idx="5">
                  <c:v>1208.1600000000001</c:v>
                </c:pt>
                <c:pt idx="6">
                  <c:v>1332.27</c:v>
                </c:pt>
                <c:pt idx="7">
                  <c:v>1456.84</c:v>
                </c:pt>
                <c:pt idx="8">
                  <c:v>1581.75</c:v>
                </c:pt>
                <c:pt idx="9">
                  <c:v>1706.95</c:v>
                </c:pt>
                <c:pt idx="10">
                  <c:v>1832.35</c:v>
                </c:pt>
                <c:pt idx="11">
                  <c:v>1957.91</c:v>
                </c:pt>
                <c:pt idx="12">
                  <c:v>2082.87</c:v>
                </c:pt>
                <c:pt idx="13">
                  <c:v>2204.6999999999998</c:v>
                </c:pt>
                <c:pt idx="14">
                  <c:v>2322.8000000000002</c:v>
                </c:pt>
                <c:pt idx="15">
                  <c:v>2438.31</c:v>
                </c:pt>
                <c:pt idx="16">
                  <c:v>2552.58</c:v>
                </c:pt>
                <c:pt idx="17">
                  <c:v>2665.72</c:v>
                </c:pt>
                <c:pt idx="18">
                  <c:v>2777.8</c:v>
                </c:pt>
                <c:pt idx="19">
                  <c:v>2842.2</c:v>
                </c:pt>
                <c:pt idx="20">
                  <c:v>2997.84</c:v>
                </c:pt>
                <c:pt idx="21">
                  <c:v>3105.02</c:v>
                </c:pt>
                <c:pt idx="22">
                  <c:v>3208.5</c:v>
                </c:pt>
                <c:pt idx="23">
                  <c:v>3305.04</c:v>
                </c:pt>
                <c:pt idx="24">
                  <c:v>3390.79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76DD-41CD-BB9C-DB6336B0C5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1346400"/>
        <c:axId val="461345224"/>
      </c:scatterChart>
      <c:valAx>
        <c:axId val="461346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L/G, [kg_solvent chimic/kg_gaze de ardere]</a:t>
                </a:r>
                <a:endParaRPr lang="en-US" sz="10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461345224"/>
        <c:crosses val="autoZero"/>
        <c:crossBetween val="midCat"/>
      </c:valAx>
      <c:valAx>
        <c:axId val="461345224"/>
        <c:scaling>
          <c:orientation val="minMax"/>
          <c:min val="4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o-RO"/>
                  <a:t>Consumul</a:t>
                </a:r>
                <a:r>
                  <a:rPr lang="ro-RO" baseline="0"/>
                  <a:t> specific de energie termică, [GJ/tCO2Î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2.5867136978248089E-2"/>
              <c:y val="5.14619883040935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461346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  <c:userShapes r:id="rId3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o-R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'MEA 30% + piperazina'!$C$8:$AF$8</c:f>
              <c:numCache>
                <c:formatCode>General</c:formatCode>
                <c:ptCount val="30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  <c:pt idx="6">
                  <c:v>1.1000000000000001</c:v>
                </c:pt>
                <c:pt idx="7">
                  <c:v>1.2</c:v>
                </c:pt>
                <c:pt idx="8">
                  <c:v>1.2274</c:v>
                </c:pt>
                <c:pt idx="9">
                  <c:v>1.3</c:v>
                </c:pt>
                <c:pt idx="10">
                  <c:v>1.4</c:v>
                </c:pt>
              </c:numCache>
            </c:numRef>
          </c:xVal>
          <c:yVal>
            <c:numRef>
              <c:f>'MEA 30% + piperazina'!$C$12:$AF$12</c:f>
              <c:numCache>
                <c:formatCode>0.00</c:formatCode>
                <c:ptCount val="30"/>
                <c:pt idx="0">
                  <c:v>37.719690639673317</c:v>
                </c:pt>
                <c:pt idx="1">
                  <c:v>45.142376116110114</c:v>
                </c:pt>
                <c:pt idx="2">
                  <c:v>52.499059336950374</c:v>
                </c:pt>
                <c:pt idx="3">
                  <c:v>59.785576200688752</c:v>
                </c:pt>
                <c:pt idx="4">
                  <c:v>67.001265936727108</c:v>
                </c:pt>
                <c:pt idx="5">
                  <c:v>74.135830497630067</c:v>
                </c:pt>
                <c:pt idx="6">
                  <c:v>81.185592009313638</c:v>
                </c:pt>
                <c:pt idx="7">
                  <c:v>88.12834608620588</c:v>
                </c:pt>
                <c:pt idx="8">
                  <c:v>90.006034206971805</c:v>
                </c:pt>
                <c:pt idx="9">
                  <c:v>94.889999149725384</c:v>
                </c:pt>
                <c:pt idx="10">
                  <c:v>99.997690674083245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125D-4619-B47D-127A67AF8C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1347184"/>
        <c:axId val="461349928"/>
      </c:scatterChart>
      <c:valAx>
        <c:axId val="461347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L/G,</a:t>
                </a:r>
                <a:r>
                  <a:rPr lang="en-US" baseline="0"/>
                  <a:t> [kg_solvent chimic/kg_gaze de ardere]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461349928"/>
        <c:crosses val="autoZero"/>
        <c:crossBetween val="midCat"/>
      </c:valAx>
      <c:valAx>
        <c:axId val="461349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Eficien</a:t>
                </a:r>
                <a:r>
                  <a:rPr lang="ro-RO"/>
                  <a:t>ța</a:t>
                </a:r>
                <a:r>
                  <a:rPr lang="ro-RO" baseline="0"/>
                  <a:t> de captare, [%]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461347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  <c:userShapes r:id="rId3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o-R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280314960629922"/>
          <c:y val="5.2256532066508314E-2"/>
          <c:w val="0.76893307086614171"/>
          <c:h val="0.73680139151252177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'MEA 30% + piperazina'!$C$8:$AF$8</c:f>
              <c:numCache>
                <c:formatCode>General</c:formatCode>
                <c:ptCount val="30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  <c:pt idx="6">
                  <c:v>1.1000000000000001</c:v>
                </c:pt>
                <c:pt idx="7">
                  <c:v>1.2</c:v>
                </c:pt>
                <c:pt idx="8">
                  <c:v>1.2274</c:v>
                </c:pt>
                <c:pt idx="9">
                  <c:v>1.3</c:v>
                </c:pt>
                <c:pt idx="10">
                  <c:v>1.4</c:v>
                </c:pt>
              </c:numCache>
            </c:numRef>
          </c:xVal>
          <c:yVal>
            <c:numRef>
              <c:f>'MEA 30% + piperazina'!$C$16:$AF$16</c:f>
              <c:numCache>
                <c:formatCode>General</c:formatCode>
                <c:ptCount val="30"/>
                <c:pt idx="0">
                  <c:v>0.4911719256389474</c:v>
                </c:pt>
                <c:pt idx="1">
                  <c:v>0.48847749189058765</c:v>
                </c:pt>
                <c:pt idx="2">
                  <c:v>0.48592903969745516</c:v>
                </c:pt>
                <c:pt idx="3">
                  <c:v>0.48346601411066137</c:v>
                </c:pt>
                <c:pt idx="4">
                  <c:v>0.48110531435774212</c:v>
                </c:pt>
                <c:pt idx="5">
                  <c:v>0.47882510700734426</c:v>
                </c:pt>
                <c:pt idx="6">
                  <c:v>0.47671801992304624</c:v>
                </c:pt>
                <c:pt idx="7">
                  <c:v>0.47491937903487375</c:v>
                </c:pt>
                <c:pt idx="8">
                  <c:v>0.47453289267647203</c:v>
                </c:pt>
                <c:pt idx="9">
                  <c:v>0.47400198229550611</c:v>
                </c:pt>
                <c:pt idx="10">
                  <c:v>0.48372421601218973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913E-42E4-98C7-375C138D41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1346008"/>
        <c:axId val="461347576"/>
      </c:scatterChart>
      <c:valAx>
        <c:axId val="461346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L/G, [kg_solvent chimic/kg_gaze de ardere]</a:t>
                </a:r>
                <a:endParaRPr lang="en-US" sz="10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461347576"/>
        <c:crosses val="autoZero"/>
        <c:crossBetween val="midCat"/>
      </c:valAx>
      <c:valAx>
        <c:axId val="461347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Grad </a:t>
                </a:r>
                <a:r>
                  <a:rPr lang="ro-RO" baseline="0"/>
                  <a:t>încărcare solvent bogat în CO</a:t>
                </a:r>
                <a:r>
                  <a:rPr lang="ro-RO" baseline="-25000"/>
                  <a:t>2</a:t>
                </a:r>
                <a:r>
                  <a:rPr lang="ro-RO" baseline="0"/>
                  <a:t>, [molCO2/molamină]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461346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  <c:userShapes r:id="rId3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o-R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'MEA 30% + piperazina'!$C$8:$AL$8</c:f>
              <c:numCache>
                <c:formatCode>General</c:formatCode>
                <c:ptCount val="36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  <c:pt idx="6">
                  <c:v>1.1000000000000001</c:v>
                </c:pt>
                <c:pt idx="7">
                  <c:v>1.2</c:v>
                </c:pt>
                <c:pt idx="8">
                  <c:v>1.2274</c:v>
                </c:pt>
                <c:pt idx="9">
                  <c:v>1.3</c:v>
                </c:pt>
                <c:pt idx="10">
                  <c:v>1.4</c:v>
                </c:pt>
              </c:numCache>
            </c:numRef>
          </c:xVal>
          <c:yVal>
            <c:numRef>
              <c:f>'MEA 30% + piperazina'!$C$19:$AL$19</c:f>
              <c:numCache>
                <c:formatCode>General</c:formatCode>
                <c:ptCount val="36"/>
                <c:pt idx="0">
                  <c:v>853.65700000000004</c:v>
                </c:pt>
                <c:pt idx="1">
                  <c:v>1027.02</c:v>
                </c:pt>
                <c:pt idx="2">
                  <c:v>1200.77</c:v>
                </c:pt>
                <c:pt idx="3">
                  <c:v>1374.92</c:v>
                </c:pt>
                <c:pt idx="4">
                  <c:v>1549.44</c:v>
                </c:pt>
                <c:pt idx="5">
                  <c:v>1724.23</c:v>
                </c:pt>
                <c:pt idx="6">
                  <c:v>1898.91</c:v>
                </c:pt>
                <c:pt idx="7">
                  <c:v>2071.96</c:v>
                </c:pt>
                <c:pt idx="8">
                  <c:v>2118.9899999999998</c:v>
                </c:pt>
                <c:pt idx="9">
                  <c:v>2241.9299999999998</c:v>
                </c:pt>
                <c:pt idx="10">
                  <c:v>2388.9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76DD-41CD-BB9C-DB6336B0C5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1352672"/>
        <c:axId val="461353064"/>
      </c:scatterChart>
      <c:valAx>
        <c:axId val="461352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L/G, [kg_solvent chimic/kg_gaze de ardere]</a:t>
                </a:r>
                <a:endParaRPr lang="en-US" sz="10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461353064"/>
        <c:crosses val="autoZero"/>
        <c:crossBetween val="midCat"/>
      </c:valAx>
      <c:valAx>
        <c:axId val="461353064"/>
        <c:scaling>
          <c:orientation val="minMax"/>
          <c:min val="4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o-RO"/>
                  <a:t>Consumul</a:t>
                </a:r>
                <a:r>
                  <a:rPr lang="ro-RO" baseline="0"/>
                  <a:t> specific de energie termică, [GJ/tCO2Î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2.5867136978248089E-2"/>
              <c:y val="5.14619883040935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461352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  <c:userShapes r:id="rId3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o-R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'MEA 20%'!$C$8:$S$8</c:f>
              <c:numCache>
                <c:formatCode>General</c:formatCode>
                <c:ptCount val="17"/>
                <c:pt idx="0" formatCode="0.0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  <c:pt idx="6">
                  <c:v>1.1000000000000001</c:v>
                </c:pt>
                <c:pt idx="7">
                  <c:v>1.2</c:v>
                </c:pt>
                <c:pt idx="8">
                  <c:v>1.3</c:v>
                </c:pt>
                <c:pt idx="9">
                  <c:v>1.4</c:v>
                </c:pt>
                <c:pt idx="10">
                  <c:v>1.5</c:v>
                </c:pt>
                <c:pt idx="11">
                  <c:v>1.6</c:v>
                </c:pt>
                <c:pt idx="12">
                  <c:v>1.7</c:v>
                </c:pt>
                <c:pt idx="13">
                  <c:v>1.7967900000000001</c:v>
                </c:pt>
                <c:pt idx="14">
                  <c:v>1.9</c:v>
                </c:pt>
                <c:pt idx="15">
                  <c:v>2</c:v>
                </c:pt>
                <c:pt idx="16">
                  <c:v>2.1</c:v>
                </c:pt>
              </c:numCache>
            </c:numRef>
          </c:xVal>
          <c:yVal>
            <c:numRef>
              <c:f>'MEA 20%'!$C$12:$S$12</c:f>
              <c:numCache>
                <c:formatCode>General</c:formatCode>
                <c:ptCount val="17"/>
                <c:pt idx="0">
                  <c:v>26.419428750103791</c:v>
                </c:pt>
                <c:pt idx="1">
                  <c:v>31.609071158510389</c:v>
                </c:pt>
                <c:pt idx="2">
                  <c:v>36.746550091772313</c:v>
                </c:pt>
                <c:pt idx="3">
                  <c:v>41.835343946057179</c:v>
                </c:pt>
                <c:pt idx="4">
                  <c:v>46.874654809699315</c:v>
                </c:pt>
                <c:pt idx="5">
                  <c:v>51.865430202801711</c:v>
                </c:pt>
                <c:pt idx="6">
                  <c:v>56.812781746972739</c:v>
                </c:pt>
                <c:pt idx="7">
                  <c:v>61.71355519765892</c:v>
                </c:pt>
                <c:pt idx="8">
                  <c:v>66.5707053214973</c:v>
                </c:pt>
                <c:pt idx="9">
                  <c:v>71.384356792185642</c:v>
                </c:pt>
                <c:pt idx="10">
                  <c:v>76.152253015794415</c:v>
                </c:pt>
                <c:pt idx="11">
                  <c:v>80.879904569764776</c:v>
                </c:pt>
                <c:pt idx="12">
                  <c:v>85.545830175971943</c:v>
                </c:pt>
                <c:pt idx="13">
                  <c:v>90.000430124257292</c:v>
                </c:pt>
                <c:pt idx="14">
                  <c:v>94.637340420783715</c:v>
                </c:pt>
                <c:pt idx="15">
                  <c:v>98.808148747690112</c:v>
                </c:pt>
                <c:pt idx="16">
                  <c:v>99.999995517975577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125D-4619-B47D-127A67AF8C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1358160"/>
        <c:axId val="461359728"/>
      </c:scatterChart>
      <c:valAx>
        <c:axId val="461358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L/G,</a:t>
                </a:r>
                <a:r>
                  <a:rPr lang="en-US" baseline="0"/>
                  <a:t> [kg_solvent chimic/kg_gaze de ardere]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461359728"/>
        <c:crosses val="autoZero"/>
        <c:crossBetween val="midCat"/>
      </c:valAx>
      <c:valAx>
        <c:axId val="46135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Eficien</a:t>
                </a:r>
                <a:r>
                  <a:rPr lang="ro-RO"/>
                  <a:t>ța</a:t>
                </a:r>
                <a:r>
                  <a:rPr lang="ro-RO" baseline="0"/>
                  <a:t> de captare, [%]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461358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o-R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280314960629922"/>
          <c:y val="5.2256532066508314E-2"/>
          <c:w val="0.76893307086614171"/>
          <c:h val="0.73680139151252177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'MEA 20%'!$C$8:$S$8</c:f>
              <c:numCache>
                <c:formatCode>General</c:formatCode>
                <c:ptCount val="17"/>
                <c:pt idx="0" formatCode="0.0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  <c:pt idx="6">
                  <c:v>1.1000000000000001</c:v>
                </c:pt>
                <c:pt idx="7">
                  <c:v>1.2</c:v>
                </c:pt>
                <c:pt idx="8">
                  <c:v>1.3</c:v>
                </c:pt>
                <c:pt idx="9">
                  <c:v>1.4</c:v>
                </c:pt>
                <c:pt idx="10">
                  <c:v>1.5</c:v>
                </c:pt>
                <c:pt idx="11">
                  <c:v>1.6</c:v>
                </c:pt>
                <c:pt idx="12">
                  <c:v>1.7</c:v>
                </c:pt>
                <c:pt idx="13">
                  <c:v>1.7967900000000001</c:v>
                </c:pt>
                <c:pt idx="14">
                  <c:v>1.9</c:v>
                </c:pt>
                <c:pt idx="15">
                  <c:v>2</c:v>
                </c:pt>
                <c:pt idx="16">
                  <c:v>2.1</c:v>
                </c:pt>
              </c:numCache>
            </c:numRef>
          </c:xVal>
          <c:yVal>
            <c:numRef>
              <c:f>'MEA 20%'!$C$16:$S$16</c:f>
              <c:numCache>
                <c:formatCode>General</c:formatCode>
                <c:ptCount val="17"/>
                <c:pt idx="0">
                  <c:v>0.58248000912610409</c:v>
                </c:pt>
                <c:pt idx="1">
                  <c:v>0.58076989032199733</c:v>
                </c:pt>
                <c:pt idx="2">
                  <c:v>0.57873340079449775</c:v>
                </c:pt>
                <c:pt idx="3">
                  <c:v>0.57654027486341897</c:v>
                </c:pt>
                <c:pt idx="4">
                  <c:v>0.5742337807944603</c:v>
                </c:pt>
                <c:pt idx="5">
                  <c:v>0.57185767886332806</c:v>
                </c:pt>
                <c:pt idx="6">
                  <c:v>0.56948283732723204</c:v>
                </c:pt>
                <c:pt idx="7">
                  <c:v>0.56708090567894665</c:v>
                </c:pt>
                <c:pt idx="8">
                  <c:v>0.56468306568419013</c:v>
                </c:pt>
                <c:pt idx="9">
                  <c:v>0.5622911935882331</c:v>
                </c:pt>
                <c:pt idx="10">
                  <c:v>0.55988861085080055</c:v>
                </c:pt>
                <c:pt idx="11">
                  <c:v>0.55751839189882757</c:v>
                </c:pt>
                <c:pt idx="12">
                  <c:v>0.55503891975215247</c:v>
                </c:pt>
                <c:pt idx="13">
                  <c:v>0.55254380938617853</c:v>
                </c:pt>
                <c:pt idx="14">
                  <c:v>0.54954991983564394</c:v>
                </c:pt>
                <c:pt idx="15">
                  <c:v>0.54531530437568532</c:v>
                </c:pt>
                <c:pt idx="16">
                  <c:v>0.52586785713564366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913E-42E4-98C7-375C138D41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1358552"/>
        <c:axId val="461360120"/>
      </c:scatterChart>
      <c:valAx>
        <c:axId val="461358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L/G, [kg_solvent chimic/kg_gaze de ardere]</a:t>
                </a:r>
                <a:endParaRPr lang="en-US" sz="10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461360120"/>
        <c:crosses val="autoZero"/>
        <c:crossBetween val="midCat"/>
      </c:valAx>
      <c:valAx>
        <c:axId val="461360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Grad </a:t>
                </a:r>
                <a:r>
                  <a:rPr lang="ro-RO" baseline="0"/>
                  <a:t>încărcare solvent bogat în CO</a:t>
                </a:r>
                <a:r>
                  <a:rPr lang="ro-RO" baseline="-25000"/>
                  <a:t>2</a:t>
                </a:r>
                <a:r>
                  <a:rPr lang="ro-RO" baseline="0"/>
                  <a:t>, [molCO2/molamină]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461358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  <c:userShapes r:id="rId3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o-R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'MEA 20%'!$C$8:$S$8</c:f>
              <c:numCache>
                <c:formatCode>General</c:formatCode>
                <c:ptCount val="17"/>
                <c:pt idx="0" formatCode="0.0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  <c:pt idx="6">
                  <c:v>1.1000000000000001</c:v>
                </c:pt>
                <c:pt idx="7">
                  <c:v>1.2</c:v>
                </c:pt>
                <c:pt idx="8">
                  <c:v>1.3</c:v>
                </c:pt>
                <c:pt idx="9">
                  <c:v>1.4</c:v>
                </c:pt>
                <c:pt idx="10">
                  <c:v>1.5</c:v>
                </c:pt>
                <c:pt idx="11">
                  <c:v>1.6</c:v>
                </c:pt>
                <c:pt idx="12">
                  <c:v>1.7</c:v>
                </c:pt>
                <c:pt idx="13">
                  <c:v>1.7967900000000001</c:v>
                </c:pt>
                <c:pt idx="14">
                  <c:v>1.9</c:v>
                </c:pt>
                <c:pt idx="15">
                  <c:v>2</c:v>
                </c:pt>
                <c:pt idx="16">
                  <c:v>2.1</c:v>
                </c:pt>
              </c:numCache>
            </c:numRef>
          </c:xVal>
          <c:yVal>
            <c:numRef>
              <c:f>'MEA 20%'!$C$19:$S$19</c:f>
              <c:numCache>
                <c:formatCode>General</c:formatCode>
                <c:ptCount val="17"/>
                <c:pt idx="0">
                  <c:v>790.06500000000005</c:v>
                </c:pt>
                <c:pt idx="1">
                  <c:v>950.61800000000005</c:v>
                </c:pt>
                <c:pt idx="2">
                  <c:v>1111.58</c:v>
                </c:pt>
                <c:pt idx="3">
                  <c:v>1272.94</c:v>
                </c:pt>
                <c:pt idx="4">
                  <c:v>1434.79</c:v>
                </c:pt>
                <c:pt idx="5">
                  <c:v>1596.26</c:v>
                </c:pt>
                <c:pt idx="6">
                  <c:v>1757.36</c:v>
                </c:pt>
                <c:pt idx="7">
                  <c:v>1917.9</c:v>
                </c:pt>
                <c:pt idx="8">
                  <c:v>2077.71</c:v>
                </c:pt>
                <c:pt idx="9">
                  <c:v>2237.0500000000002</c:v>
                </c:pt>
                <c:pt idx="10">
                  <c:v>2395.9499999999998</c:v>
                </c:pt>
                <c:pt idx="11">
                  <c:v>2554.5700000000002</c:v>
                </c:pt>
                <c:pt idx="12">
                  <c:v>2712.71</c:v>
                </c:pt>
                <c:pt idx="13">
                  <c:v>2865.46</c:v>
                </c:pt>
                <c:pt idx="14">
                  <c:v>3027.63</c:v>
                </c:pt>
                <c:pt idx="15">
                  <c:v>3182.75</c:v>
                </c:pt>
                <c:pt idx="16">
                  <c:v>3319.47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76DD-41CD-BB9C-DB6336B0C5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1357768"/>
        <c:axId val="461358944"/>
      </c:scatterChart>
      <c:valAx>
        <c:axId val="461357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L/G, [kg_solvent chimic/kg_gaze de ardere]</a:t>
                </a:r>
                <a:endParaRPr lang="en-US" sz="10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461358944"/>
        <c:crosses val="autoZero"/>
        <c:crossBetween val="midCat"/>
      </c:valAx>
      <c:valAx>
        <c:axId val="461358944"/>
        <c:scaling>
          <c:orientation val="minMax"/>
          <c:min val="4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o-RO"/>
                  <a:t>Consumul</a:t>
                </a:r>
                <a:r>
                  <a:rPr lang="ro-RO" baseline="0"/>
                  <a:t> specific de energie termică, [GJ/tCO2Î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2.5867136978248089E-2"/>
              <c:y val="5.14619883040935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461357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  <c:userShapes r:id="rId3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o-R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'DEA 20%'!$C$8:$AL$8</c:f>
              <c:numCache>
                <c:formatCode>General</c:formatCode>
                <c:ptCount val="36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  <c:pt idx="6">
                  <c:v>1.1000000000000001</c:v>
                </c:pt>
                <c:pt idx="7">
                  <c:v>1.2</c:v>
                </c:pt>
                <c:pt idx="8">
                  <c:v>1.3</c:v>
                </c:pt>
                <c:pt idx="9">
                  <c:v>1.4</c:v>
                </c:pt>
                <c:pt idx="10">
                  <c:v>1.5</c:v>
                </c:pt>
                <c:pt idx="11">
                  <c:v>1.6</c:v>
                </c:pt>
                <c:pt idx="12">
                  <c:v>1.7</c:v>
                </c:pt>
                <c:pt idx="13">
                  <c:v>1.8</c:v>
                </c:pt>
                <c:pt idx="14">
                  <c:v>1.9</c:v>
                </c:pt>
                <c:pt idx="15">
                  <c:v>2</c:v>
                </c:pt>
                <c:pt idx="16">
                  <c:v>2.2000000000000002</c:v>
                </c:pt>
                <c:pt idx="17">
                  <c:v>2.4</c:v>
                </c:pt>
                <c:pt idx="18">
                  <c:v>2.6</c:v>
                </c:pt>
                <c:pt idx="19">
                  <c:v>2.8</c:v>
                </c:pt>
                <c:pt idx="20">
                  <c:v>3</c:v>
                </c:pt>
                <c:pt idx="21">
                  <c:v>3.2</c:v>
                </c:pt>
                <c:pt idx="22">
                  <c:v>3.4097535070711671</c:v>
                </c:pt>
                <c:pt idx="23">
                  <c:v>3.6</c:v>
                </c:pt>
                <c:pt idx="24">
                  <c:v>3.8</c:v>
                </c:pt>
                <c:pt idx="25">
                  <c:v>4</c:v>
                </c:pt>
              </c:numCache>
            </c:numRef>
          </c:xVal>
          <c:yVal>
            <c:numRef>
              <c:f>'DEA 20%'!$C$12:$AL$12</c:f>
              <c:numCache>
                <c:formatCode>0.00</c:formatCode>
                <c:ptCount val="36"/>
                <c:pt idx="0">
                  <c:v>16.91201203649748</c:v>
                </c:pt>
                <c:pt idx="1">
                  <c:v>20.138716943080716</c:v>
                </c:pt>
                <c:pt idx="2">
                  <c:v>23.287737668586889</c:v>
                </c:pt>
                <c:pt idx="3">
                  <c:v>26.361368209054852</c:v>
                </c:pt>
                <c:pt idx="4">
                  <c:v>29.362089571070111</c:v>
                </c:pt>
                <c:pt idx="5">
                  <c:v>32.295836222646287</c:v>
                </c:pt>
                <c:pt idx="6">
                  <c:v>35.165949418883422</c:v>
                </c:pt>
                <c:pt idx="7">
                  <c:v>37.977067021338399</c:v>
                </c:pt>
                <c:pt idx="8">
                  <c:v>40.7330539146419</c:v>
                </c:pt>
                <c:pt idx="9">
                  <c:v>43.436640452774981</c:v>
                </c:pt>
                <c:pt idx="10">
                  <c:v>46.091030749770162</c:v>
                </c:pt>
                <c:pt idx="11">
                  <c:v>48.702558229473908</c:v>
                </c:pt>
                <c:pt idx="12">
                  <c:v>51.269427590638408</c:v>
                </c:pt>
                <c:pt idx="13">
                  <c:v>53.796214357971607</c:v>
                </c:pt>
                <c:pt idx="14">
                  <c:v>56.285798493891861</c:v>
                </c:pt>
                <c:pt idx="15">
                  <c:v>58.73689585931222</c:v>
                </c:pt>
                <c:pt idx="16">
                  <c:v>63.541583291131289</c:v>
                </c:pt>
                <c:pt idx="17">
                  <c:v>68.217507727899161</c:v>
                </c:pt>
                <c:pt idx="18">
                  <c:v>72.773770349552635</c:v>
                </c:pt>
                <c:pt idx="19">
                  <c:v>77.219572074986729</c:v>
                </c:pt>
                <c:pt idx="20">
                  <c:v>81.546422625383713</c:v>
                </c:pt>
                <c:pt idx="21">
                  <c:v>85.749671671816927</c:v>
                </c:pt>
                <c:pt idx="22">
                  <c:v>90.002802664725749</c:v>
                </c:pt>
                <c:pt idx="23">
                  <c:v>93.664303352051846</c:v>
                </c:pt>
                <c:pt idx="24">
                  <c:v>97.154925022484903</c:v>
                </c:pt>
                <c:pt idx="25">
                  <c:v>99.637455369933036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125D-4619-B47D-127A67AF8C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075640"/>
        <c:axId val="462066624"/>
      </c:scatterChart>
      <c:valAx>
        <c:axId val="462075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L/G,</a:t>
                </a:r>
                <a:r>
                  <a:rPr lang="en-US" baseline="0"/>
                  <a:t> [kg_solvent chimic/kg_gaze de ardere]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462066624"/>
        <c:crosses val="autoZero"/>
        <c:crossBetween val="midCat"/>
      </c:valAx>
      <c:valAx>
        <c:axId val="46206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Eficien</a:t>
                </a:r>
                <a:r>
                  <a:rPr lang="ro-RO"/>
                  <a:t>ța</a:t>
                </a:r>
                <a:r>
                  <a:rPr lang="ro-RO" baseline="0"/>
                  <a:t> de captare, [%]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462075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o-R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280314960629922"/>
          <c:y val="5.2256532066508314E-2"/>
          <c:w val="0.76893307086614171"/>
          <c:h val="0.73680139151252177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'DGA 30%'!$C$8:$AJ$8</c:f>
              <c:numCache>
                <c:formatCode>General</c:formatCode>
                <c:ptCount val="34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  <c:pt idx="6">
                  <c:v>1.1000000000000001</c:v>
                </c:pt>
                <c:pt idx="7">
                  <c:v>1.2</c:v>
                </c:pt>
                <c:pt idx="8">
                  <c:v>1.2576000000000001</c:v>
                </c:pt>
                <c:pt idx="9">
                  <c:v>1.3</c:v>
                </c:pt>
                <c:pt idx="10">
                  <c:v>1.4</c:v>
                </c:pt>
                <c:pt idx="11">
                  <c:v>1.5</c:v>
                </c:pt>
              </c:numCache>
            </c:numRef>
          </c:xVal>
          <c:yVal>
            <c:numRef>
              <c:f>'DGA 30%'!$C$16:$AJ$16</c:f>
              <c:numCache>
                <c:formatCode>General</c:formatCode>
                <c:ptCount val="34"/>
                <c:pt idx="0">
                  <c:v>0.8995918890764335</c:v>
                </c:pt>
                <c:pt idx="1">
                  <c:v>0.90718897509756025</c:v>
                </c:pt>
                <c:pt idx="2">
                  <c:v>0.91123991700644258</c:v>
                </c:pt>
                <c:pt idx="3">
                  <c:v>0.91301979425081969</c:v>
                </c:pt>
                <c:pt idx="4">
                  <c:v>0.91323667176832068</c:v>
                </c:pt>
                <c:pt idx="5">
                  <c:v>0.91228878541639191</c:v>
                </c:pt>
                <c:pt idx="6">
                  <c:v>0.91037135355487786</c:v>
                </c:pt>
                <c:pt idx="7">
                  <c:v>0.90746931517543472</c:v>
                </c:pt>
                <c:pt idx="8">
                  <c:v>0.90518717899481116</c:v>
                </c:pt>
                <c:pt idx="9">
                  <c:v>0.90299577446444168</c:v>
                </c:pt>
                <c:pt idx="10">
                  <c:v>0.89064298213726123</c:v>
                </c:pt>
                <c:pt idx="11">
                  <c:v>0.84309836648795144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913E-42E4-98C7-375C138D41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063880"/>
        <c:axId val="462065840"/>
      </c:scatterChart>
      <c:valAx>
        <c:axId val="462063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L/G, [kg_solvent chimic/kg_gaze de ardere]</a:t>
                </a:r>
                <a:endParaRPr lang="en-US" sz="10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462065840"/>
        <c:crosses val="autoZero"/>
        <c:crossBetween val="midCat"/>
      </c:valAx>
      <c:valAx>
        <c:axId val="46206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Grad </a:t>
                </a:r>
                <a:r>
                  <a:rPr lang="ro-RO" baseline="0"/>
                  <a:t>încărcare solvent bogat în CO</a:t>
                </a:r>
                <a:r>
                  <a:rPr lang="ro-RO" baseline="-25000"/>
                  <a:t>2</a:t>
                </a:r>
                <a:r>
                  <a:rPr lang="ro-RO" baseline="0"/>
                  <a:t>, [molCO2/molamină]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462063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  <c:userShapes r:id="rId3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o-R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280314960629922"/>
          <c:y val="5.2256532066508314E-2"/>
          <c:w val="0.76893307086614171"/>
          <c:h val="0.73680139151252177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'DEA 20%'!$C$8:$AL$8</c:f>
              <c:numCache>
                <c:formatCode>General</c:formatCode>
                <c:ptCount val="36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  <c:pt idx="6">
                  <c:v>1.1000000000000001</c:v>
                </c:pt>
                <c:pt idx="7">
                  <c:v>1.2</c:v>
                </c:pt>
                <c:pt idx="8">
                  <c:v>1.3</c:v>
                </c:pt>
                <c:pt idx="9">
                  <c:v>1.4</c:v>
                </c:pt>
                <c:pt idx="10">
                  <c:v>1.5</c:v>
                </c:pt>
                <c:pt idx="11">
                  <c:v>1.6</c:v>
                </c:pt>
                <c:pt idx="12">
                  <c:v>1.7</c:v>
                </c:pt>
                <c:pt idx="13">
                  <c:v>1.8</c:v>
                </c:pt>
                <c:pt idx="14">
                  <c:v>1.9</c:v>
                </c:pt>
                <c:pt idx="15">
                  <c:v>2</c:v>
                </c:pt>
                <c:pt idx="16">
                  <c:v>2.2000000000000002</c:v>
                </c:pt>
                <c:pt idx="17">
                  <c:v>2.4</c:v>
                </c:pt>
                <c:pt idx="18">
                  <c:v>2.6</c:v>
                </c:pt>
                <c:pt idx="19">
                  <c:v>2.8</c:v>
                </c:pt>
                <c:pt idx="20">
                  <c:v>3</c:v>
                </c:pt>
                <c:pt idx="21">
                  <c:v>3.2</c:v>
                </c:pt>
                <c:pt idx="22">
                  <c:v>3.4097535070711671</c:v>
                </c:pt>
                <c:pt idx="23">
                  <c:v>3.6</c:v>
                </c:pt>
                <c:pt idx="24">
                  <c:v>3.8</c:v>
                </c:pt>
                <c:pt idx="25">
                  <c:v>4</c:v>
                </c:pt>
              </c:numCache>
            </c:numRef>
          </c:xVal>
          <c:yVal>
            <c:numRef>
              <c:f>'DEA 20%'!$C$16:$AL$16</c:f>
              <c:numCache>
                <c:formatCode>General</c:formatCode>
                <c:ptCount val="36"/>
                <c:pt idx="0">
                  <c:v>0.64165606524935548</c:v>
                </c:pt>
                <c:pt idx="1">
                  <c:v>0.63673281957531169</c:v>
                </c:pt>
                <c:pt idx="2">
                  <c:v>0.63111144882069137</c:v>
                </c:pt>
                <c:pt idx="3">
                  <c:v>0.62510804070019865</c:v>
                </c:pt>
                <c:pt idx="4">
                  <c:v>0.6189012616809082</c:v>
                </c:pt>
                <c:pt idx="5">
                  <c:v>0.61266564528003531</c:v>
                </c:pt>
                <c:pt idx="6">
                  <c:v>0.60646645697545021</c:v>
                </c:pt>
                <c:pt idx="7">
                  <c:v>0.60036743275876425</c:v>
                </c:pt>
                <c:pt idx="8">
                  <c:v>0.59440259548928043</c:v>
                </c:pt>
                <c:pt idx="9">
                  <c:v>0.5885795474822455</c:v>
                </c:pt>
                <c:pt idx="10">
                  <c:v>0.58291101118605493</c:v>
                </c:pt>
                <c:pt idx="11">
                  <c:v>0.57744307488333935</c:v>
                </c:pt>
                <c:pt idx="12">
                  <c:v>0.57211919491753727</c:v>
                </c:pt>
                <c:pt idx="13">
                  <c:v>0.56696520836525865</c:v>
                </c:pt>
                <c:pt idx="14">
                  <c:v>0.56198178229364293</c:v>
                </c:pt>
                <c:pt idx="15">
                  <c:v>0.55713163044383374</c:v>
                </c:pt>
                <c:pt idx="16">
                  <c:v>0.54791413443427583</c:v>
                </c:pt>
                <c:pt idx="17">
                  <c:v>0.53921474658535029</c:v>
                </c:pt>
                <c:pt idx="18">
                  <c:v>0.53098058306453777</c:v>
                </c:pt>
                <c:pt idx="19">
                  <c:v>0.52317440609067234</c:v>
                </c:pt>
                <c:pt idx="20">
                  <c:v>0.51565683919589445</c:v>
                </c:pt>
                <c:pt idx="21">
                  <c:v>0.50834611942934715</c:v>
                </c:pt>
                <c:pt idx="22">
                  <c:v>0.50073767856995677</c:v>
                </c:pt>
                <c:pt idx="23">
                  <c:v>0.4935700694300077</c:v>
                </c:pt>
                <c:pt idx="24">
                  <c:v>0.48501836342041715</c:v>
                </c:pt>
                <c:pt idx="25">
                  <c:v>0.47254116704138555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913E-42E4-98C7-375C138D41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068192"/>
        <c:axId val="485511232"/>
      </c:scatterChart>
      <c:valAx>
        <c:axId val="462068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L/G, [kg_solvent chimic/kg_gaze de ardere]</a:t>
                </a:r>
                <a:endParaRPr lang="en-US" sz="10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485511232"/>
        <c:crosses val="autoZero"/>
        <c:crossBetween val="midCat"/>
      </c:valAx>
      <c:valAx>
        <c:axId val="48551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Grad </a:t>
                </a:r>
                <a:r>
                  <a:rPr lang="ro-RO" baseline="0"/>
                  <a:t>încărcare solvent bogat în CO</a:t>
                </a:r>
                <a:r>
                  <a:rPr lang="ro-RO" baseline="-25000"/>
                  <a:t>2</a:t>
                </a:r>
                <a:r>
                  <a:rPr lang="ro-RO" baseline="0"/>
                  <a:t>, [molCO2/molamină]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462068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  <c:userShapes r:id="rId3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o-R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'DEA 20%'!$C$8:$AL$8</c:f>
              <c:numCache>
                <c:formatCode>General</c:formatCode>
                <c:ptCount val="36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  <c:pt idx="6">
                  <c:v>1.1000000000000001</c:v>
                </c:pt>
                <c:pt idx="7">
                  <c:v>1.2</c:v>
                </c:pt>
                <c:pt idx="8">
                  <c:v>1.3</c:v>
                </c:pt>
                <c:pt idx="9">
                  <c:v>1.4</c:v>
                </c:pt>
                <c:pt idx="10">
                  <c:v>1.5</c:v>
                </c:pt>
                <c:pt idx="11">
                  <c:v>1.6</c:v>
                </c:pt>
                <c:pt idx="12">
                  <c:v>1.7</c:v>
                </c:pt>
                <c:pt idx="13">
                  <c:v>1.8</c:v>
                </c:pt>
                <c:pt idx="14">
                  <c:v>1.9</c:v>
                </c:pt>
                <c:pt idx="15">
                  <c:v>2</c:v>
                </c:pt>
                <c:pt idx="16">
                  <c:v>2.2000000000000002</c:v>
                </c:pt>
                <c:pt idx="17">
                  <c:v>2.4</c:v>
                </c:pt>
                <c:pt idx="18">
                  <c:v>2.6</c:v>
                </c:pt>
                <c:pt idx="19">
                  <c:v>2.8</c:v>
                </c:pt>
                <c:pt idx="20">
                  <c:v>3</c:v>
                </c:pt>
                <c:pt idx="21">
                  <c:v>3.2</c:v>
                </c:pt>
                <c:pt idx="22">
                  <c:v>3.4097535070711671</c:v>
                </c:pt>
                <c:pt idx="23">
                  <c:v>3.6</c:v>
                </c:pt>
                <c:pt idx="24">
                  <c:v>3.8</c:v>
                </c:pt>
                <c:pt idx="25">
                  <c:v>4</c:v>
                </c:pt>
              </c:numCache>
            </c:numRef>
          </c:xVal>
          <c:yVal>
            <c:numRef>
              <c:f>'DEA 20%'!$C$19:$AL$19</c:f>
              <c:numCache>
                <c:formatCode>General</c:formatCode>
                <c:ptCount val="36"/>
                <c:pt idx="0">
                  <c:v>577.47199999999998</c:v>
                </c:pt>
                <c:pt idx="1">
                  <c:v>695.78700000000003</c:v>
                </c:pt>
                <c:pt idx="2">
                  <c:v>814.54899999999998</c:v>
                </c:pt>
                <c:pt idx="3">
                  <c:v>933.77</c:v>
                </c:pt>
                <c:pt idx="4">
                  <c:v>1053.44</c:v>
                </c:pt>
                <c:pt idx="5">
                  <c:v>1173.48</c:v>
                </c:pt>
                <c:pt idx="6">
                  <c:v>1293.95</c:v>
                </c:pt>
                <c:pt idx="7">
                  <c:v>1414.71</c:v>
                </c:pt>
                <c:pt idx="8">
                  <c:v>1535.79</c:v>
                </c:pt>
                <c:pt idx="9">
                  <c:v>1657.11</c:v>
                </c:pt>
                <c:pt idx="10">
                  <c:v>1778.66</c:v>
                </c:pt>
                <c:pt idx="11">
                  <c:v>1900.4</c:v>
                </c:pt>
                <c:pt idx="12">
                  <c:v>2022.21</c:v>
                </c:pt>
                <c:pt idx="13">
                  <c:v>2143.9299999999998</c:v>
                </c:pt>
                <c:pt idx="14">
                  <c:v>2265.21</c:v>
                </c:pt>
                <c:pt idx="15">
                  <c:v>2385.29</c:v>
                </c:pt>
                <c:pt idx="16">
                  <c:v>2620.38</c:v>
                </c:pt>
                <c:pt idx="17">
                  <c:v>2851.72</c:v>
                </c:pt>
                <c:pt idx="18">
                  <c:v>3081.28</c:v>
                </c:pt>
                <c:pt idx="19">
                  <c:v>3309.56</c:v>
                </c:pt>
                <c:pt idx="20">
                  <c:v>3536.66</c:v>
                </c:pt>
                <c:pt idx="21">
                  <c:v>3762.55</c:v>
                </c:pt>
                <c:pt idx="22">
                  <c:v>3997.83</c:v>
                </c:pt>
                <c:pt idx="23">
                  <c:v>4209.4399999999996</c:v>
                </c:pt>
                <c:pt idx="24">
                  <c:v>4428.5</c:v>
                </c:pt>
                <c:pt idx="25">
                  <c:v>4637.9399999999996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76DD-41CD-BB9C-DB6336B0C5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5522992"/>
        <c:axId val="485513192"/>
      </c:scatterChart>
      <c:valAx>
        <c:axId val="485522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L/G, [kg_solvent chimic/kg_gaze de ardere]</a:t>
                </a:r>
                <a:endParaRPr lang="en-US" sz="10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485513192"/>
        <c:crosses val="autoZero"/>
        <c:crossBetween val="midCat"/>
      </c:valAx>
      <c:valAx>
        <c:axId val="485513192"/>
        <c:scaling>
          <c:orientation val="minMax"/>
          <c:min val="4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o-RO"/>
                  <a:t>Consumul</a:t>
                </a:r>
                <a:r>
                  <a:rPr lang="ro-RO" baseline="0"/>
                  <a:t> specific de energie termică, [GJ/tCO2Î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2.5867136978248089E-2"/>
              <c:y val="5.14619883040935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485522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  <c:userShapes r:id="rId3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o-R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'MDEA 20%'!$C$8:$AE$8</c:f>
              <c:numCache>
                <c:formatCode>General</c:formatCode>
                <c:ptCount val="29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2.5</c:v>
                </c:pt>
                <c:pt idx="12">
                  <c:v>3</c:v>
                </c:pt>
                <c:pt idx="13">
                  <c:v>3.5</c:v>
                </c:pt>
                <c:pt idx="14">
                  <c:v>4</c:v>
                </c:pt>
                <c:pt idx="15">
                  <c:v>4.5</c:v>
                </c:pt>
                <c:pt idx="16">
                  <c:v>5</c:v>
                </c:pt>
                <c:pt idx="17">
                  <c:v>5.5</c:v>
                </c:pt>
                <c:pt idx="18">
                  <c:v>6</c:v>
                </c:pt>
                <c:pt idx="19">
                  <c:v>6.4748000000000001</c:v>
                </c:pt>
                <c:pt idx="20">
                  <c:v>7</c:v>
                </c:pt>
                <c:pt idx="21">
                  <c:v>7.5</c:v>
                </c:pt>
              </c:numCache>
            </c:numRef>
          </c:xVal>
          <c:yVal>
            <c:numRef>
              <c:f>'MDEA 20%'!$C$19:$AE$19</c:f>
              <c:numCache>
                <c:formatCode>General</c:formatCode>
                <c:ptCount val="29"/>
                <c:pt idx="0">
                  <c:v>373.79500000000002</c:v>
                </c:pt>
                <c:pt idx="1">
                  <c:v>451.40100000000001</c:v>
                </c:pt>
                <c:pt idx="2">
                  <c:v>529.49699999999996</c:v>
                </c:pt>
                <c:pt idx="3">
                  <c:v>608.00599999999997</c:v>
                </c:pt>
                <c:pt idx="4">
                  <c:v>686.93700000000001</c:v>
                </c:pt>
                <c:pt idx="5">
                  <c:v>766.125</c:v>
                </c:pt>
                <c:pt idx="6">
                  <c:v>925.48800000000006</c:v>
                </c:pt>
                <c:pt idx="7">
                  <c:v>1085.6099999999999</c:v>
                </c:pt>
                <c:pt idx="8">
                  <c:v>1246.46</c:v>
                </c:pt>
                <c:pt idx="9">
                  <c:v>1407.39</c:v>
                </c:pt>
                <c:pt idx="10">
                  <c:v>1567.03</c:v>
                </c:pt>
                <c:pt idx="11">
                  <c:v>1942.64</c:v>
                </c:pt>
                <c:pt idx="12">
                  <c:v>2303.29</c:v>
                </c:pt>
                <c:pt idx="13">
                  <c:v>2663.44</c:v>
                </c:pt>
                <c:pt idx="14">
                  <c:v>3022.28</c:v>
                </c:pt>
                <c:pt idx="15">
                  <c:v>3380.51</c:v>
                </c:pt>
                <c:pt idx="16">
                  <c:v>3738.49</c:v>
                </c:pt>
                <c:pt idx="17">
                  <c:v>4095.21</c:v>
                </c:pt>
                <c:pt idx="18">
                  <c:v>4451</c:v>
                </c:pt>
                <c:pt idx="19">
                  <c:v>4784.54</c:v>
                </c:pt>
                <c:pt idx="20">
                  <c:v>5155.75</c:v>
                </c:pt>
                <c:pt idx="21">
                  <c:v>5492.22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76DD-41CD-BB9C-DB6336B0C5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5521816"/>
        <c:axId val="485522208"/>
      </c:scatterChart>
      <c:valAx>
        <c:axId val="485521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L/G, [kg_solvent chimic/kg_gaze de ardere]</a:t>
                </a:r>
                <a:endParaRPr lang="en-US" sz="10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485522208"/>
        <c:crosses val="autoZero"/>
        <c:crossBetween val="midCat"/>
      </c:valAx>
      <c:valAx>
        <c:axId val="485522208"/>
        <c:scaling>
          <c:orientation val="minMax"/>
          <c:min val="4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o-RO"/>
                  <a:t>Consumul</a:t>
                </a:r>
                <a:r>
                  <a:rPr lang="ro-RO" baseline="0"/>
                  <a:t> specific de energie termică, [GJ/tCO2Î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2.5867136978248089E-2"/>
              <c:y val="5.14619883040935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485521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  <c:userShapes r:id="rId3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o-R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280314960629922"/>
          <c:y val="5.2256532066508314E-2"/>
          <c:w val="0.76893307086614171"/>
          <c:h val="0.73680139151252177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'MDEA 20%'!$C$8:$AE$8</c:f>
              <c:numCache>
                <c:formatCode>General</c:formatCode>
                <c:ptCount val="29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2.5</c:v>
                </c:pt>
                <c:pt idx="12">
                  <c:v>3</c:v>
                </c:pt>
                <c:pt idx="13">
                  <c:v>3.5</c:v>
                </c:pt>
                <c:pt idx="14">
                  <c:v>4</c:v>
                </c:pt>
                <c:pt idx="15">
                  <c:v>4.5</c:v>
                </c:pt>
                <c:pt idx="16">
                  <c:v>5</c:v>
                </c:pt>
                <c:pt idx="17">
                  <c:v>5.5</c:v>
                </c:pt>
                <c:pt idx="18">
                  <c:v>6</c:v>
                </c:pt>
                <c:pt idx="19">
                  <c:v>6.4748000000000001</c:v>
                </c:pt>
                <c:pt idx="20">
                  <c:v>7</c:v>
                </c:pt>
                <c:pt idx="21">
                  <c:v>7.5</c:v>
                </c:pt>
              </c:numCache>
            </c:numRef>
          </c:xVal>
          <c:yVal>
            <c:numRef>
              <c:f>'MDEA 20%'!$C$16:$AE$16</c:f>
              <c:numCache>
                <c:formatCode>General</c:formatCode>
                <c:ptCount val="29"/>
                <c:pt idx="0">
                  <c:v>0.56031335991464037</c:v>
                </c:pt>
                <c:pt idx="1">
                  <c:v>0.548305495004202</c:v>
                </c:pt>
                <c:pt idx="2">
                  <c:v>0.53548583473938449</c:v>
                </c:pt>
                <c:pt idx="3">
                  <c:v>0.52267437341954814</c:v>
                </c:pt>
                <c:pt idx="4">
                  <c:v>0.51003827224839893</c:v>
                </c:pt>
                <c:pt idx="5">
                  <c:v>0.4979064111329306</c:v>
                </c:pt>
                <c:pt idx="6">
                  <c:v>0.47550981483265725</c:v>
                </c:pt>
                <c:pt idx="7">
                  <c:v>0.45557734410419853</c:v>
                </c:pt>
                <c:pt idx="8">
                  <c:v>0.43815063169987511</c:v>
                </c:pt>
                <c:pt idx="9">
                  <c:v>0.4228206333195037</c:v>
                </c:pt>
                <c:pt idx="10">
                  <c:v>0.40937104773859861</c:v>
                </c:pt>
                <c:pt idx="11">
                  <c:v>0.38219278023826769</c:v>
                </c:pt>
                <c:pt idx="12">
                  <c:v>0.36195792849078262</c:v>
                </c:pt>
                <c:pt idx="13">
                  <c:v>0.34650317510130019</c:v>
                </c:pt>
                <c:pt idx="14">
                  <c:v>0.33442176862722656</c:v>
                </c:pt>
                <c:pt idx="15">
                  <c:v>0.32473151769742953</c:v>
                </c:pt>
                <c:pt idx="16">
                  <c:v>0.31678632641581378</c:v>
                </c:pt>
                <c:pt idx="17">
                  <c:v>0.31004741583180412</c:v>
                </c:pt>
                <c:pt idx="18">
                  <c:v>0.30412781720264981</c:v>
                </c:pt>
                <c:pt idx="19">
                  <c:v>0.29892710224314945</c:v>
                </c:pt>
                <c:pt idx="20">
                  <c:v>0.29304530286176561</c:v>
                </c:pt>
                <c:pt idx="21">
                  <c:v>0.28508332727722896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913E-42E4-98C7-375C138D41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5522600"/>
        <c:axId val="485523384"/>
      </c:scatterChart>
      <c:valAx>
        <c:axId val="485522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L/G, [kg_solvent chimic/kg_gaze de ardere]</a:t>
                </a:r>
                <a:endParaRPr lang="en-US" sz="10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485523384"/>
        <c:crosses val="autoZero"/>
        <c:crossBetween val="midCat"/>
      </c:valAx>
      <c:valAx>
        <c:axId val="485523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Grad </a:t>
                </a:r>
                <a:r>
                  <a:rPr lang="ro-RO" baseline="0"/>
                  <a:t>încărcare solvent bogat în CO</a:t>
                </a:r>
                <a:r>
                  <a:rPr lang="ro-RO" baseline="-25000"/>
                  <a:t>2</a:t>
                </a:r>
                <a:r>
                  <a:rPr lang="ro-RO" baseline="0"/>
                  <a:t>, [molCO2/molamină]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485522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  <c:userShapes r:id="rId3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o-R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'MDEA 20%'!$C$8:$AE$8</c:f>
              <c:numCache>
                <c:formatCode>General</c:formatCode>
                <c:ptCount val="29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2.5</c:v>
                </c:pt>
                <c:pt idx="12">
                  <c:v>3</c:v>
                </c:pt>
                <c:pt idx="13">
                  <c:v>3.5</c:v>
                </c:pt>
                <c:pt idx="14">
                  <c:v>4</c:v>
                </c:pt>
                <c:pt idx="15">
                  <c:v>4.5</c:v>
                </c:pt>
                <c:pt idx="16">
                  <c:v>5</c:v>
                </c:pt>
                <c:pt idx="17">
                  <c:v>5.5</c:v>
                </c:pt>
                <c:pt idx="18">
                  <c:v>6</c:v>
                </c:pt>
                <c:pt idx="19">
                  <c:v>6.4748000000000001</c:v>
                </c:pt>
                <c:pt idx="20">
                  <c:v>7</c:v>
                </c:pt>
                <c:pt idx="21">
                  <c:v>7.5</c:v>
                </c:pt>
              </c:numCache>
            </c:numRef>
          </c:xVal>
          <c:yVal>
            <c:numRef>
              <c:f>'MDEA 20%'!$C$12:$AE$12</c:f>
              <c:numCache>
                <c:formatCode>General</c:formatCode>
                <c:ptCount val="29"/>
                <c:pt idx="0">
                  <c:v>13.02941127334484</c:v>
                </c:pt>
                <c:pt idx="1">
                  <c:v>15.300205537058131</c:v>
                </c:pt>
                <c:pt idx="2">
                  <c:v>17.432886278387883</c:v>
                </c:pt>
                <c:pt idx="3">
                  <c:v>19.446628312050283</c:v>
                </c:pt>
                <c:pt idx="4">
                  <c:v>21.348538038817896</c:v>
                </c:pt>
                <c:pt idx="5">
                  <c:v>23.15639392799196</c:v>
                </c:pt>
                <c:pt idx="6">
                  <c:v>26.537731621912545</c:v>
                </c:pt>
                <c:pt idx="7">
                  <c:v>29.662914736406144</c:v>
                </c:pt>
                <c:pt idx="8">
                  <c:v>32.603755321385101</c:v>
                </c:pt>
                <c:pt idx="9">
                  <c:v>35.395934989149644</c:v>
                </c:pt>
                <c:pt idx="10">
                  <c:v>38.077840771241462</c:v>
                </c:pt>
                <c:pt idx="11">
                  <c:v>44.437421159470375</c:v>
                </c:pt>
                <c:pt idx="12">
                  <c:v>50.501799166132443</c:v>
                </c:pt>
                <c:pt idx="13">
                  <c:v>56.403166312967393</c:v>
                </c:pt>
                <c:pt idx="14">
                  <c:v>62.213347117257356</c:v>
                </c:pt>
                <c:pt idx="15">
                  <c:v>67.962076255919186</c:v>
                </c:pt>
                <c:pt idx="16">
                  <c:v>73.665947798125359</c:v>
                </c:pt>
                <c:pt idx="17">
                  <c:v>79.308804032645554</c:v>
                </c:pt>
                <c:pt idx="18">
                  <c:v>84.86689462005566</c:v>
                </c:pt>
                <c:pt idx="19">
                  <c:v>90.016681340760883</c:v>
                </c:pt>
                <c:pt idx="20">
                  <c:v>95.403550058609113</c:v>
                </c:pt>
                <c:pt idx="21">
                  <c:v>99.440988572658213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125D-4619-B47D-127A67AF8C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5518680"/>
        <c:axId val="485517896"/>
      </c:scatterChart>
      <c:valAx>
        <c:axId val="485518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L/G,</a:t>
                </a:r>
                <a:r>
                  <a:rPr lang="en-US" baseline="0"/>
                  <a:t> [kg_solvent chimic/kg_gaze de ardere]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485517896"/>
        <c:crosses val="autoZero"/>
        <c:crossBetween val="midCat"/>
      </c:valAx>
      <c:valAx>
        <c:axId val="485517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Eficien</a:t>
                </a:r>
                <a:r>
                  <a:rPr lang="ro-RO"/>
                  <a:t>ța</a:t>
                </a:r>
                <a:r>
                  <a:rPr lang="ro-RO" baseline="0"/>
                  <a:t> de captare, [%]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485518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  <c:userShapes r:id="rId3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o-R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'MEA 10%'!$C$8:$AB$8</c:f>
              <c:numCache>
                <c:formatCode>General</c:formatCode>
                <c:ptCount val="26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  <c:pt idx="6">
                  <c:v>1.1000000000000001</c:v>
                </c:pt>
                <c:pt idx="7">
                  <c:v>1.2</c:v>
                </c:pt>
                <c:pt idx="8">
                  <c:v>1.3</c:v>
                </c:pt>
                <c:pt idx="9">
                  <c:v>1.4</c:v>
                </c:pt>
                <c:pt idx="10">
                  <c:v>1.5</c:v>
                </c:pt>
                <c:pt idx="11">
                  <c:v>1.6</c:v>
                </c:pt>
                <c:pt idx="12">
                  <c:v>1.7</c:v>
                </c:pt>
                <c:pt idx="13">
                  <c:v>1.8</c:v>
                </c:pt>
                <c:pt idx="14">
                  <c:v>1.9</c:v>
                </c:pt>
                <c:pt idx="15">
                  <c:v>2</c:v>
                </c:pt>
                <c:pt idx="16">
                  <c:v>2.2000000000000002</c:v>
                </c:pt>
                <c:pt idx="17">
                  <c:v>2.4</c:v>
                </c:pt>
                <c:pt idx="18">
                  <c:v>2.6</c:v>
                </c:pt>
                <c:pt idx="19">
                  <c:v>2.8</c:v>
                </c:pt>
                <c:pt idx="20">
                  <c:v>3</c:v>
                </c:pt>
                <c:pt idx="21">
                  <c:v>3.2</c:v>
                </c:pt>
                <c:pt idx="22">
                  <c:v>3.3889114615014191</c:v>
                </c:pt>
                <c:pt idx="23">
                  <c:v>3.6</c:v>
                </c:pt>
                <c:pt idx="24">
                  <c:v>3.8</c:v>
                </c:pt>
                <c:pt idx="25">
                  <c:v>4</c:v>
                </c:pt>
              </c:numCache>
            </c:numRef>
          </c:xVal>
          <c:yVal>
            <c:numRef>
              <c:f>'MEA 10%'!$C$12:$AB$12</c:f>
              <c:numCache>
                <c:formatCode>0.00</c:formatCode>
                <c:ptCount val="26"/>
                <c:pt idx="0">
                  <c:v>14.719088964407897</c:v>
                </c:pt>
                <c:pt idx="1">
                  <c:v>17.611793034679984</c:v>
                </c:pt>
                <c:pt idx="2">
                  <c:v>20.474762428035227</c:v>
                </c:pt>
                <c:pt idx="3">
                  <c:v>23.308520774004236</c:v>
                </c:pt>
                <c:pt idx="4">
                  <c:v>26.113741310554943</c:v>
                </c:pt>
                <c:pt idx="5">
                  <c:v>28.892356480002707</c:v>
                </c:pt>
                <c:pt idx="6">
                  <c:v>31.645076922424792</c:v>
                </c:pt>
                <c:pt idx="7">
                  <c:v>34.375281295030582</c:v>
                </c:pt>
                <c:pt idx="8">
                  <c:v>37.082408566180163</c:v>
                </c:pt>
                <c:pt idx="9">
                  <c:v>39.768154298163125</c:v>
                </c:pt>
                <c:pt idx="10">
                  <c:v>42.435011964934773</c:v>
                </c:pt>
                <c:pt idx="11">
                  <c:v>45.083629869723467</c:v>
                </c:pt>
                <c:pt idx="12">
                  <c:v>47.715179945288199</c:v>
                </c:pt>
                <c:pt idx="13">
                  <c:v>50.32816610725579</c:v>
                </c:pt>
                <c:pt idx="14">
                  <c:v>52.927400760359944</c:v>
                </c:pt>
                <c:pt idx="15">
                  <c:v>55.509654855828586</c:v>
                </c:pt>
                <c:pt idx="16">
                  <c:v>60.632709042259151</c:v>
                </c:pt>
                <c:pt idx="17">
                  <c:v>65.702290679718502</c:v>
                </c:pt>
                <c:pt idx="18">
                  <c:v>70.726391352233378</c:v>
                </c:pt>
                <c:pt idx="19">
                  <c:v>75.696022086194901</c:v>
                </c:pt>
                <c:pt idx="20">
                  <c:v>80.614773484098748</c:v>
                </c:pt>
                <c:pt idx="21">
                  <c:v>85.476711077931284</c:v>
                </c:pt>
                <c:pt idx="22">
                  <c:v>90.002948532952132</c:v>
                </c:pt>
                <c:pt idx="23">
                  <c:v>94.93890864135841</c:v>
                </c:pt>
                <c:pt idx="24">
                  <c:v>99.172673570098652</c:v>
                </c:pt>
                <c:pt idx="25">
                  <c:v>99.999999904441168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125D-4619-B47D-127A67AF8C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5513584"/>
        <c:axId val="485515544"/>
      </c:scatterChart>
      <c:valAx>
        <c:axId val="485513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L/G,</a:t>
                </a:r>
                <a:r>
                  <a:rPr lang="en-US" baseline="0"/>
                  <a:t> [kg_solvent chimic/kg_gaze de ardere]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485515544"/>
        <c:crosses val="autoZero"/>
        <c:crossBetween val="midCat"/>
      </c:valAx>
      <c:valAx>
        <c:axId val="485515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Eficien</a:t>
                </a:r>
                <a:r>
                  <a:rPr lang="ro-RO"/>
                  <a:t>ța</a:t>
                </a:r>
                <a:r>
                  <a:rPr lang="ro-RO" baseline="0"/>
                  <a:t> de captare, [%]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485513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o-R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280314960629922"/>
          <c:y val="5.2256532066508314E-2"/>
          <c:w val="0.76893307086614171"/>
          <c:h val="0.73680139151252177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'MEA 10%'!$C$8:$AB$8</c:f>
              <c:numCache>
                <c:formatCode>General</c:formatCode>
                <c:ptCount val="26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  <c:pt idx="6">
                  <c:v>1.1000000000000001</c:v>
                </c:pt>
                <c:pt idx="7">
                  <c:v>1.2</c:v>
                </c:pt>
                <c:pt idx="8">
                  <c:v>1.3</c:v>
                </c:pt>
                <c:pt idx="9">
                  <c:v>1.4</c:v>
                </c:pt>
                <c:pt idx="10">
                  <c:v>1.5</c:v>
                </c:pt>
                <c:pt idx="11">
                  <c:v>1.6</c:v>
                </c:pt>
                <c:pt idx="12">
                  <c:v>1.7</c:v>
                </c:pt>
                <c:pt idx="13">
                  <c:v>1.8</c:v>
                </c:pt>
                <c:pt idx="14">
                  <c:v>1.9</c:v>
                </c:pt>
                <c:pt idx="15">
                  <c:v>2</c:v>
                </c:pt>
                <c:pt idx="16">
                  <c:v>2.2000000000000002</c:v>
                </c:pt>
                <c:pt idx="17">
                  <c:v>2.4</c:v>
                </c:pt>
                <c:pt idx="18">
                  <c:v>2.6</c:v>
                </c:pt>
                <c:pt idx="19">
                  <c:v>2.8</c:v>
                </c:pt>
                <c:pt idx="20">
                  <c:v>3</c:v>
                </c:pt>
                <c:pt idx="21">
                  <c:v>3.2</c:v>
                </c:pt>
                <c:pt idx="22">
                  <c:v>3.3889114615014191</c:v>
                </c:pt>
                <c:pt idx="23">
                  <c:v>3.6</c:v>
                </c:pt>
                <c:pt idx="24">
                  <c:v>3.8</c:v>
                </c:pt>
                <c:pt idx="25">
                  <c:v>4</c:v>
                </c:pt>
              </c:numCache>
            </c:numRef>
          </c:xVal>
          <c:yVal>
            <c:numRef>
              <c:f>'MEA 10%'!$C$16:$AB$16</c:f>
              <c:numCache>
                <c:formatCode>General</c:formatCode>
                <c:ptCount val="26"/>
                <c:pt idx="0">
                  <c:v>0.64896471641285547</c:v>
                </c:pt>
                <c:pt idx="1">
                  <c:v>0.6470930243106956</c:v>
                </c:pt>
                <c:pt idx="2">
                  <c:v>0.64482248796783403</c:v>
                </c:pt>
                <c:pt idx="3">
                  <c:v>0.64231507041736025</c:v>
                </c:pt>
                <c:pt idx="4">
                  <c:v>0.6396666898736848</c:v>
                </c:pt>
                <c:pt idx="5">
                  <c:v>0.63696225517905181</c:v>
                </c:pt>
                <c:pt idx="6">
                  <c:v>0.63423072198671304</c:v>
                </c:pt>
                <c:pt idx="7">
                  <c:v>0.63154142140405356</c:v>
                </c:pt>
                <c:pt idx="8">
                  <c:v>0.62887484227804469</c:v>
                </c:pt>
                <c:pt idx="9">
                  <c:v>0.62625242258737079</c:v>
                </c:pt>
                <c:pt idx="10">
                  <c:v>0.62370271863560967</c:v>
                </c:pt>
                <c:pt idx="11">
                  <c:v>0.6212200139567553</c:v>
                </c:pt>
                <c:pt idx="12">
                  <c:v>0.61880821195502511</c:v>
                </c:pt>
                <c:pt idx="13">
                  <c:v>0.61643729468754871</c:v>
                </c:pt>
                <c:pt idx="14">
                  <c:v>0.6141565672482785</c:v>
                </c:pt>
                <c:pt idx="15">
                  <c:v>0.61191694394157603</c:v>
                </c:pt>
                <c:pt idx="16">
                  <c:v>0.60763308660630178</c:v>
                </c:pt>
                <c:pt idx="17">
                  <c:v>0.60357342857906138</c:v>
                </c:pt>
                <c:pt idx="18">
                  <c:v>0.59975265571732395</c:v>
                </c:pt>
                <c:pt idx="19">
                  <c:v>0.59605086812291375</c:v>
                </c:pt>
                <c:pt idx="20">
                  <c:v>0.59247052618165452</c:v>
                </c:pt>
                <c:pt idx="21">
                  <c:v>0.58894964252890902</c:v>
                </c:pt>
                <c:pt idx="22">
                  <c:v>0.58557969043289271</c:v>
                </c:pt>
                <c:pt idx="23">
                  <c:v>0.58150176656475827</c:v>
                </c:pt>
                <c:pt idx="24">
                  <c:v>0.57553918348462296</c:v>
                </c:pt>
                <c:pt idx="25">
                  <c:v>0.55130896577425959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913E-42E4-98C7-375C138D41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5515936"/>
        <c:axId val="485512016"/>
      </c:scatterChart>
      <c:valAx>
        <c:axId val="485515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L/G, [kg_solvent chimic/kg_gaze de ardere]</a:t>
                </a:r>
                <a:endParaRPr lang="en-US" sz="10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485512016"/>
        <c:crosses val="autoZero"/>
        <c:crossBetween val="midCat"/>
      </c:valAx>
      <c:valAx>
        <c:axId val="48551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Grad </a:t>
                </a:r>
                <a:r>
                  <a:rPr lang="ro-RO" baseline="0"/>
                  <a:t>încărcare solvent bogat în CO</a:t>
                </a:r>
                <a:r>
                  <a:rPr lang="ro-RO" baseline="-25000"/>
                  <a:t>2</a:t>
                </a:r>
                <a:r>
                  <a:rPr lang="ro-RO" baseline="0"/>
                  <a:t>, [molCO2/molamină]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485515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  <c:userShapes r:id="rId3"/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o-R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'MEA 10%'!$C$8:$AB$8</c:f>
              <c:numCache>
                <c:formatCode>General</c:formatCode>
                <c:ptCount val="26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  <c:pt idx="6">
                  <c:v>1.1000000000000001</c:v>
                </c:pt>
                <c:pt idx="7">
                  <c:v>1.2</c:v>
                </c:pt>
                <c:pt idx="8">
                  <c:v>1.3</c:v>
                </c:pt>
                <c:pt idx="9">
                  <c:v>1.4</c:v>
                </c:pt>
                <c:pt idx="10">
                  <c:v>1.5</c:v>
                </c:pt>
                <c:pt idx="11">
                  <c:v>1.6</c:v>
                </c:pt>
                <c:pt idx="12">
                  <c:v>1.7</c:v>
                </c:pt>
                <c:pt idx="13">
                  <c:v>1.8</c:v>
                </c:pt>
                <c:pt idx="14">
                  <c:v>1.9</c:v>
                </c:pt>
                <c:pt idx="15">
                  <c:v>2</c:v>
                </c:pt>
                <c:pt idx="16">
                  <c:v>2.2000000000000002</c:v>
                </c:pt>
                <c:pt idx="17">
                  <c:v>2.4</c:v>
                </c:pt>
                <c:pt idx="18">
                  <c:v>2.6</c:v>
                </c:pt>
                <c:pt idx="19">
                  <c:v>2.8</c:v>
                </c:pt>
                <c:pt idx="20">
                  <c:v>3</c:v>
                </c:pt>
                <c:pt idx="21">
                  <c:v>3.2</c:v>
                </c:pt>
                <c:pt idx="22">
                  <c:v>3.3889114615014191</c:v>
                </c:pt>
                <c:pt idx="23">
                  <c:v>3.6</c:v>
                </c:pt>
                <c:pt idx="24">
                  <c:v>3.8</c:v>
                </c:pt>
                <c:pt idx="25">
                  <c:v>4</c:v>
                </c:pt>
              </c:numCache>
            </c:numRef>
          </c:xVal>
          <c:yVal>
            <c:numRef>
              <c:f>'MEA 10%'!$C$12:$AB$12</c:f>
              <c:numCache>
                <c:formatCode>0.00</c:formatCode>
                <c:ptCount val="26"/>
                <c:pt idx="0">
                  <c:v>14.719088964407897</c:v>
                </c:pt>
                <c:pt idx="1">
                  <c:v>17.611793034679984</c:v>
                </c:pt>
                <c:pt idx="2">
                  <c:v>20.474762428035227</c:v>
                </c:pt>
                <c:pt idx="3">
                  <c:v>23.308520774004236</c:v>
                </c:pt>
                <c:pt idx="4">
                  <c:v>26.113741310554943</c:v>
                </c:pt>
                <c:pt idx="5">
                  <c:v>28.892356480002707</c:v>
                </c:pt>
                <c:pt idx="6">
                  <c:v>31.645076922424792</c:v>
                </c:pt>
                <c:pt idx="7">
                  <c:v>34.375281295030582</c:v>
                </c:pt>
                <c:pt idx="8">
                  <c:v>37.082408566180163</c:v>
                </c:pt>
                <c:pt idx="9">
                  <c:v>39.768154298163125</c:v>
                </c:pt>
                <c:pt idx="10">
                  <c:v>42.435011964934773</c:v>
                </c:pt>
                <c:pt idx="11">
                  <c:v>45.083629869723467</c:v>
                </c:pt>
                <c:pt idx="12">
                  <c:v>47.715179945288199</c:v>
                </c:pt>
                <c:pt idx="13">
                  <c:v>50.32816610725579</c:v>
                </c:pt>
                <c:pt idx="14">
                  <c:v>52.927400760359944</c:v>
                </c:pt>
                <c:pt idx="15">
                  <c:v>55.509654855828586</c:v>
                </c:pt>
                <c:pt idx="16">
                  <c:v>60.632709042259151</c:v>
                </c:pt>
                <c:pt idx="17">
                  <c:v>65.702290679718502</c:v>
                </c:pt>
                <c:pt idx="18">
                  <c:v>70.726391352233378</c:v>
                </c:pt>
                <c:pt idx="19">
                  <c:v>75.696022086194901</c:v>
                </c:pt>
                <c:pt idx="20">
                  <c:v>80.614773484098748</c:v>
                </c:pt>
                <c:pt idx="21">
                  <c:v>85.476711077931284</c:v>
                </c:pt>
                <c:pt idx="22">
                  <c:v>90.002948532952132</c:v>
                </c:pt>
                <c:pt idx="23">
                  <c:v>94.93890864135841</c:v>
                </c:pt>
                <c:pt idx="24">
                  <c:v>99.172673570098652</c:v>
                </c:pt>
                <c:pt idx="25">
                  <c:v>99.999999904441168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125D-4619-B47D-127A67AF8C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5513976"/>
        <c:axId val="485512800"/>
      </c:scatterChart>
      <c:valAx>
        <c:axId val="485513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L/G,</a:t>
                </a:r>
                <a:r>
                  <a:rPr lang="en-US" baseline="0"/>
                  <a:t> [kg_solvent chimic/kg_gaze de ardere]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485512800"/>
        <c:crosses val="autoZero"/>
        <c:crossBetween val="midCat"/>
      </c:valAx>
      <c:valAx>
        <c:axId val="48551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Eficien</a:t>
                </a:r>
                <a:r>
                  <a:rPr lang="ro-RO"/>
                  <a:t>ța</a:t>
                </a:r>
                <a:r>
                  <a:rPr lang="ro-RO" baseline="0"/>
                  <a:t> de captare, [%]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485513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o-R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'DEA 10%'!$C$8:$AF$8</c:f>
              <c:numCache>
                <c:formatCode>General</c:formatCode>
                <c:ptCount val="30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1</c:v>
                </c:pt>
                <c:pt idx="5">
                  <c:v>1.2</c:v>
                </c:pt>
                <c:pt idx="6">
                  <c:v>1.4</c:v>
                </c:pt>
                <c:pt idx="7">
                  <c:v>1.6</c:v>
                </c:pt>
                <c:pt idx="8">
                  <c:v>1.8</c:v>
                </c:pt>
                <c:pt idx="9">
                  <c:v>2</c:v>
                </c:pt>
                <c:pt idx="10">
                  <c:v>2.5</c:v>
                </c:pt>
                <c:pt idx="11">
                  <c:v>3</c:v>
                </c:pt>
                <c:pt idx="12">
                  <c:v>3.5</c:v>
                </c:pt>
                <c:pt idx="13">
                  <c:v>4</c:v>
                </c:pt>
                <c:pt idx="14">
                  <c:v>4.5</c:v>
                </c:pt>
                <c:pt idx="15">
                  <c:v>5</c:v>
                </c:pt>
                <c:pt idx="16">
                  <c:v>5.5</c:v>
                </c:pt>
                <c:pt idx="17">
                  <c:v>5.9787999999999997</c:v>
                </c:pt>
                <c:pt idx="18">
                  <c:v>6.5</c:v>
                </c:pt>
                <c:pt idx="19">
                  <c:v>7</c:v>
                </c:pt>
              </c:numCache>
            </c:numRef>
          </c:xVal>
          <c:yVal>
            <c:numRef>
              <c:f>'DEA 10%'!$C$12:$AF$12</c:f>
              <c:numCache>
                <c:formatCode>General</c:formatCode>
                <c:ptCount val="30"/>
                <c:pt idx="0">
                  <c:v>9.8065587840225099</c:v>
                </c:pt>
                <c:pt idx="1">
                  <c:v>11.697572029605521</c:v>
                </c:pt>
                <c:pt idx="2">
                  <c:v>13.550160841537478</c:v>
                </c:pt>
                <c:pt idx="3">
                  <c:v>15.378774901389344</c:v>
                </c:pt>
                <c:pt idx="4">
                  <c:v>18.890508815801841</c:v>
                </c:pt>
                <c:pt idx="5">
                  <c:v>22.289974065377383</c:v>
                </c:pt>
                <c:pt idx="6">
                  <c:v>25.581210077923554</c:v>
                </c:pt>
                <c:pt idx="7">
                  <c:v>28.779651457223576</c:v>
                </c:pt>
                <c:pt idx="8">
                  <c:v>31.906006504476164</c:v>
                </c:pt>
                <c:pt idx="9">
                  <c:v>34.960374958639498</c:v>
                </c:pt>
                <c:pt idx="10">
                  <c:v>42.36826166715165</c:v>
                </c:pt>
                <c:pt idx="11">
                  <c:v>49.539866783660464</c:v>
                </c:pt>
                <c:pt idx="12">
                  <c:v>56.550692699532149</c:v>
                </c:pt>
                <c:pt idx="13">
                  <c:v>63.451456675017312</c:v>
                </c:pt>
                <c:pt idx="14">
                  <c:v>70.27103313851822</c:v>
                </c:pt>
                <c:pt idx="15">
                  <c:v>77.02407124952218</c:v>
                </c:pt>
                <c:pt idx="16">
                  <c:v>83.706319634935468</c:v>
                </c:pt>
                <c:pt idx="17">
                  <c:v>90.005481902490715</c:v>
                </c:pt>
                <c:pt idx="18">
                  <c:v>96.594663865996722</c:v>
                </c:pt>
                <c:pt idx="19">
                  <c:v>99.999996764095428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125D-4619-B47D-127A67AF8C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5514368"/>
        <c:axId val="485514760"/>
      </c:scatterChart>
      <c:valAx>
        <c:axId val="485514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L/G,</a:t>
                </a:r>
                <a:r>
                  <a:rPr lang="en-US" baseline="0"/>
                  <a:t> [kg_solvent chimic/kg_gaze de ardere]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485514760"/>
        <c:crosses val="autoZero"/>
        <c:crossBetween val="midCat"/>
      </c:valAx>
      <c:valAx>
        <c:axId val="485514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Eficien</a:t>
                </a:r>
                <a:r>
                  <a:rPr lang="ro-RO"/>
                  <a:t>ța</a:t>
                </a:r>
                <a:r>
                  <a:rPr lang="ro-RO" baseline="0"/>
                  <a:t> de captare, [%]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485514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  <c:userShapes r:id="rId3"/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o-R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280314960629922"/>
          <c:y val="5.2256532066508314E-2"/>
          <c:w val="0.76893307086614171"/>
          <c:h val="0.73680139151252177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'DEA 10%'!$C$8:$AF$8</c:f>
              <c:numCache>
                <c:formatCode>General</c:formatCode>
                <c:ptCount val="30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1</c:v>
                </c:pt>
                <c:pt idx="5">
                  <c:v>1.2</c:v>
                </c:pt>
                <c:pt idx="6">
                  <c:v>1.4</c:v>
                </c:pt>
                <c:pt idx="7">
                  <c:v>1.6</c:v>
                </c:pt>
                <c:pt idx="8">
                  <c:v>1.8</c:v>
                </c:pt>
                <c:pt idx="9">
                  <c:v>2</c:v>
                </c:pt>
                <c:pt idx="10">
                  <c:v>2.5</c:v>
                </c:pt>
                <c:pt idx="11">
                  <c:v>3</c:v>
                </c:pt>
                <c:pt idx="12">
                  <c:v>3.5</c:v>
                </c:pt>
                <c:pt idx="13">
                  <c:v>4</c:v>
                </c:pt>
                <c:pt idx="14">
                  <c:v>4.5</c:v>
                </c:pt>
                <c:pt idx="15">
                  <c:v>5</c:v>
                </c:pt>
                <c:pt idx="16">
                  <c:v>5.5</c:v>
                </c:pt>
                <c:pt idx="17">
                  <c:v>5.9787999999999997</c:v>
                </c:pt>
                <c:pt idx="18">
                  <c:v>6.5</c:v>
                </c:pt>
                <c:pt idx="19">
                  <c:v>7</c:v>
                </c:pt>
              </c:numCache>
            </c:numRef>
          </c:xVal>
          <c:yVal>
            <c:numRef>
              <c:f>'DEA 10%'!$C$16:$AF$16</c:f>
              <c:numCache>
                <c:formatCode>General</c:formatCode>
                <c:ptCount val="30"/>
                <c:pt idx="0">
                  <c:v>0.74413835944844742</c:v>
                </c:pt>
                <c:pt idx="1">
                  <c:v>0.73969263351608983</c:v>
                </c:pt>
                <c:pt idx="2">
                  <c:v>0.73443534347135864</c:v>
                </c:pt>
                <c:pt idx="3">
                  <c:v>0.72935468744551613</c:v>
                </c:pt>
                <c:pt idx="4">
                  <c:v>0.71672180236376737</c:v>
                </c:pt>
                <c:pt idx="5">
                  <c:v>0.70474988996973276</c:v>
                </c:pt>
                <c:pt idx="6">
                  <c:v>0.69326590179423397</c:v>
                </c:pt>
                <c:pt idx="7">
                  <c:v>0.68245225848725</c:v>
                </c:pt>
                <c:pt idx="8">
                  <c:v>0.67252268928302983</c:v>
                </c:pt>
                <c:pt idx="9">
                  <c:v>0.66321304304561446</c:v>
                </c:pt>
                <c:pt idx="10">
                  <c:v>0.64299471813246878</c:v>
                </c:pt>
                <c:pt idx="11">
                  <c:v>0.62652765528100096</c:v>
                </c:pt>
                <c:pt idx="12">
                  <c:v>0.61302260624614502</c:v>
                </c:pt>
                <c:pt idx="13">
                  <c:v>0.60184986164030019</c:v>
                </c:pt>
                <c:pt idx="14">
                  <c:v>0.59247573927159292</c:v>
                </c:pt>
                <c:pt idx="15">
                  <c:v>0.58447115957102214</c:v>
                </c:pt>
                <c:pt idx="16">
                  <c:v>0.57743391135897215</c:v>
                </c:pt>
                <c:pt idx="17">
                  <c:v>0.57116523873093739</c:v>
                </c:pt>
                <c:pt idx="18">
                  <c:v>0.56382772931344494</c:v>
                </c:pt>
                <c:pt idx="19">
                  <c:v>0.5420114598472634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913E-42E4-98C7-375C138D41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5520640"/>
        <c:axId val="485516720"/>
      </c:scatterChart>
      <c:valAx>
        <c:axId val="485520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L/G, [kg_solvent chimic/kg_gaze de ardere]</a:t>
                </a:r>
                <a:endParaRPr lang="en-US" sz="10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485516720"/>
        <c:crosses val="autoZero"/>
        <c:crossBetween val="midCat"/>
      </c:valAx>
      <c:valAx>
        <c:axId val="48551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Grad </a:t>
                </a:r>
                <a:r>
                  <a:rPr lang="ro-RO" baseline="0"/>
                  <a:t>încărcare solvent bogat în CO</a:t>
                </a:r>
                <a:r>
                  <a:rPr lang="ro-RO" baseline="-25000"/>
                  <a:t>2</a:t>
                </a:r>
                <a:r>
                  <a:rPr lang="ro-RO" baseline="0"/>
                  <a:t>, [molCO2/molamină]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485520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o-R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'DGA 30%'!$C$8:$AJ$8</c:f>
              <c:numCache>
                <c:formatCode>General</c:formatCode>
                <c:ptCount val="34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  <c:pt idx="6">
                  <c:v>1.1000000000000001</c:v>
                </c:pt>
                <c:pt idx="7">
                  <c:v>1.2</c:v>
                </c:pt>
                <c:pt idx="8">
                  <c:v>1.2576000000000001</c:v>
                </c:pt>
                <c:pt idx="9">
                  <c:v>1.3</c:v>
                </c:pt>
                <c:pt idx="10">
                  <c:v>1.4</c:v>
                </c:pt>
                <c:pt idx="11">
                  <c:v>1.5</c:v>
                </c:pt>
              </c:numCache>
            </c:numRef>
          </c:xVal>
          <c:yVal>
            <c:numRef>
              <c:f>'DGA 30%'!$C$12:$AJ$12</c:f>
              <c:numCache>
                <c:formatCode>General</c:formatCode>
                <c:ptCount val="34"/>
                <c:pt idx="0">
                  <c:v>35.565541087588507</c:v>
                </c:pt>
                <c:pt idx="1">
                  <c:v>43.039006161124796</c:v>
                </c:pt>
                <c:pt idx="2">
                  <c:v>50.436370409545617</c:v>
                </c:pt>
                <c:pt idx="3">
                  <c:v>57.754142969313563</c:v>
                </c:pt>
                <c:pt idx="4">
                  <c:v>64.988695835823691</c:v>
                </c:pt>
                <c:pt idx="5">
                  <c:v>72.134580768483687</c:v>
                </c:pt>
                <c:pt idx="6">
                  <c:v>79.181138166134673</c:v>
                </c:pt>
                <c:pt idx="7">
                  <c:v>86.103757440837953</c:v>
                </c:pt>
                <c:pt idx="8">
                  <c:v>90.009609848623697</c:v>
                </c:pt>
                <c:pt idx="9">
                  <c:v>92.818801242448203</c:v>
                </c:pt>
                <c:pt idx="10">
                  <c:v>98.58925103273458</c:v>
                </c:pt>
                <c:pt idx="11">
                  <c:v>99.992517239255548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125D-4619-B47D-127A67AF8C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077600"/>
        <c:axId val="462077992"/>
      </c:scatterChart>
      <c:valAx>
        <c:axId val="462077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L/G,</a:t>
                </a:r>
                <a:r>
                  <a:rPr lang="en-US" baseline="0"/>
                  <a:t> [kg_solvent chimic/kg_gaze de ardere]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462077992"/>
        <c:crosses val="autoZero"/>
        <c:crossBetween val="midCat"/>
      </c:valAx>
      <c:valAx>
        <c:axId val="462077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Eficien</a:t>
                </a:r>
                <a:r>
                  <a:rPr lang="ro-RO"/>
                  <a:t>ța</a:t>
                </a:r>
                <a:r>
                  <a:rPr lang="ro-RO" baseline="0"/>
                  <a:t> de captare, [%]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462077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  <c:userShapes r:id="rId3"/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o-R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'DEA 10%'!$C$8:$AF$8</c:f>
              <c:numCache>
                <c:formatCode>General</c:formatCode>
                <c:ptCount val="30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1</c:v>
                </c:pt>
                <c:pt idx="5">
                  <c:v>1.2</c:v>
                </c:pt>
                <c:pt idx="6">
                  <c:v>1.4</c:v>
                </c:pt>
                <c:pt idx="7">
                  <c:v>1.6</c:v>
                </c:pt>
                <c:pt idx="8">
                  <c:v>1.8</c:v>
                </c:pt>
                <c:pt idx="9">
                  <c:v>2</c:v>
                </c:pt>
                <c:pt idx="10">
                  <c:v>2.5</c:v>
                </c:pt>
                <c:pt idx="11">
                  <c:v>3</c:v>
                </c:pt>
                <c:pt idx="12">
                  <c:v>3.5</c:v>
                </c:pt>
                <c:pt idx="13">
                  <c:v>4</c:v>
                </c:pt>
                <c:pt idx="14">
                  <c:v>4.5</c:v>
                </c:pt>
                <c:pt idx="15">
                  <c:v>5</c:v>
                </c:pt>
                <c:pt idx="16">
                  <c:v>5.5</c:v>
                </c:pt>
                <c:pt idx="17">
                  <c:v>5.9787999999999997</c:v>
                </c:pt>
                <c:pt idx="18">
                  <c:v>6.5</c:v>
                </c:pt>
                <c:pt idx="19">
                  <c:v>7</c:v>
                </c:pt>
              </c:numCache>
            </c:numRef>
          </c:xVal>
          <c:yVal>
            <c:numRef>
              <c:f>'DEA 10%'!$C$19:$AF$19</c:f>
              <c:numCache>
                <c:formatCode>General</c:formatCode>
                <c:ptCount val="30"/>
                <c:pt idx="0">
                  <c:v>565.02300000000002</c:v>
                </c:pt>
                <c:pt idx="1">
                  <c:v>680.82600000000002</c:v>
                </c:pt>
                <c:pt idx="2">
                  <c:v>797.03</c:v>
                </c:pt>
                <c:pt idx="3">
                  <c:v>906.44899999999996</c:v>
                </c:pt>
                <c:pt idx="4">
                  <c:v>1147.8599999999999</c:v>
                </c:pt>
                <c:pt idx="5">
                  <c:v>1383.34</c:v>
                </c:pt>
                <c:pt idx="6">
                  <c:v>1619.77</c:v>
                </c:pt>
                <c:pt idx="7">
                  <c:v>1857.03</c:v>
                </c:pt>
                <c:pt idx="8">
                  <c:v>2094.7199999999998</c:v>
                </c:pt>
                <c:pt idx="9">
                  <c:v>2332.4299999999998</c:v>
                </c:pt>
                <c:pt idx="10">
                  <c:v>2921.76</c:v>
                </c:pt>
                <c:pt idx="11">
                  <c:v>3504.3</c:v>
                </c:pt>
                <c:pt idx="12">
                  <c:v>4084.64</c:v>
                </c:pt>
                <c:pt idx="13">
                  <c:v>4663.7700000000004</c:v>
                </c:pt>
                <c:pt idx="14">
                  <c:v>5242.3500000000004</c:v>
                </c:pt>
                <c:pt idx="15">
                  <c:v>5820.32</c:v>
                </c:pt>
                <c:pt idx="16">
                  <c:v>6397.82</c:v>
                </c:pt>
                <c:pt idx="17">
                  <c:v>6950.16</c:v>
                </c:pt>
                <c:pt idx="18">
                  <c:v>7549.67</c:v>
                </c:pt>
                <c:pt idx="19">
                  <c:v>8094.62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76DD-41CD-BB9C-DB6336B0C5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5519856"/>
        <c:axId val="485524560"/>
      </c:scatterChart>
      <c:valAx>
        <c:axId val="485519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L/G, [kg_solvent chimic/kg_gaze de ardere]</a:t>
                </a:r>
                <a:endParaRPr lang="en-US" sz="10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485524560"/>
        <c:crosses val="autoZero"/>
        <c:crossBetween val="midCat"/>
      </c:valAx>
      <c:valAx>
        <c:axId val="485524560"/>
        <c:scaling>
          <c:orientation val="minMax"/>
          <c:min val="4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o-RO"/>
                  <a:t>Consumul</a:t>
                </a:r>
                <a:r>
                  <a:rPr lang="ro-RO" baseline="0"/>
                  <a:t> specific de energie termică, [GJ/tCO2Î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2.5867136978248089E-2"/>
              <c:y val="5.14619883040935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485519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  <c:userShapes r:id="rId3"/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o-R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'MDEA 10%'!$C$8:$AE$8</c:f>
              <c:numCache>
                <c:formatCode>General</c:formatCode>
                <c:ptCount val="29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2.5</c:v>
                </c:pt>
                <c:pt idx="12">
                  <c:v>3</c:v>
                </c:pt>
                <c:pt idx="13">
                  <c:v>3.5</c:v>
                </c:pt>
                <c:pt idx="14">
                  <c:v>4</c:v>
                </c:pt>
                <c:pt idx="15">
                  <c:v>4.5</c:v>
                </c:pt>
                <c:pt idx="16">
                  <c:v>5</c:v>
                </c:pt>
                <c:pt idx="17">
                  <c:v>5.5</c:v>
                </c:pt>
                <c:pt idx="18">
                  <c:v>6</c:v>
                </c:pt>
                <c:pt idx="19">
                  <c:v>6.5</c:v>
                </c:pt>
                <c:pt idx="20">
                  <c:v>7</c:v>
                </c:pt>
                <c:pt idx="21">
                  <c:v>7.5</c:v>
                </c:pt>
                <c:pt idx="22">
                  <c:v>8</c:v>
                </c:pt>
                <c:pt idx="23">
                  <c:v>8.5</c:v>
                </c:pt>
                <c:pt idx="24">
                  <c:v>9</c:v>
                </c:pt>
                <c:pt idx="25">
                  <c:v>9.4640000000000004</c:v>
                </c:pt>
                <c:pt idx="26">
                  <c:v>10</c:v>
                </c:pt>
              </c:numCache>
            </c:numRef>
          </c:xVal>
          <c:yVal>
            <c:numRef>
              <c:f>'MDEA 10%'!$C$12:$AE$12</c:f>
              <c:numCache>
                <c:formatCode>General</c:formatCode>
                <c:ptCount val="29"/>
                <c:pt idx="0">
                  <c:v>7.9940525659218347</c:v>
                </c:pt>
                <c:pt idx="1">
                  <c:v>9.4641424731122452</c:v>
                </c:pt>
                <c:pt idx="2">
                  <c:v>10.871147489233795</c:v>
                </c:pt>
                <c:pt idx="3">
                  <c:v>12.21975534532246</c:v>
                </c:pt>
                <c:pt idx="4">
                  <c:v>13.513170155410748</c:v>
                </c:pt>
                <c:pt idx="5">
                  <c:v>14.757862484412668</c:v>
                </c:pt>
                <c:pt idx="6">
                  <c:v>17.117374551455207</c:v>
                </c:pt>
                <c:pt idx="7">
                  <c:v>19.337301946480572</c:v>
                </c:pt>
                <c:pt idx="8">
                  <c:v>21.445459371460046</c:v>
                </c:pt>
                <c:pt idx="9">
                  <c:v>23.466644424878989</c:v>
                </c:pt>
                <c:pt idx="10">
                  <c:v>25.421178919473007</c:v>
                </c:pt>
                <c:pt idx="11">
                  <c:v>30.101554207251063</c:v>
                </c:pt>
                <c:pt idx="12">
                  <c:v>34.601414448035875</c:v>
                </c:pt>
                <c:pt idx="13">
                  <c:v>39.012182864398149</c:v>
                </c:pt>
                <c:pt idx="14">
                  <c:v>43.373555561706127</c:v>
                </c:pt>
                <c:pt idx="15">
                  <c:v>47.706689666470432</c:v>
                </c:pt>
                <c:pt idx="16">
                  <c:v>52.028067041535543</c:v>
                </c:pt>
                <c:pt idx="17">
                  <c:v>56.3363412109656</c:v>
                </c:pt>
                <c:pt idx="18">
                  <c:v>60.6430070896945</c:v>
                </c:pt>
                <c:pt idx="19">
                  <c:v>64.942155144448193</c:v>
                </c:pt>
                <c:pt idx="20">
                  <c:v>69.22285149193273</c:v>
                </c:pt>
                <c:pt idx="21">
                  <c:v>73.500568138040705</c:v>
                </c:pt>
                <c:pt idx="22">
                  <c:v>77.753200436158465</c:v>
                </c:pt>
                <c:pt idx="23">
                  <c:v>81.978292314440026</c:v>
                </c:pt>
                <c:pt idx="24">
                  <c:v>86.173150821013706</c:v>
                </c:pt>
                <c:pt idx="25">
                  <c:v>90.001160712126193</c:v>
                </c:pt>
                <c:pt idx="26">
                  <c:v>94.298067133794078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125D-4619-B47D-127A67AF8C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5526128"/>
        <c:axId val="485524952"/>
      </c:scatterChart>
      <c:valAx>
        <c:axId val="485526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L/G,</a:t>
                </a:r>
                <a:r>
                  <a:rPr lang="en-US" baseline="0"/>
                  <a:t> [kg_solvent chimic/kg_gaze de ardere]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485524952"/>
        <c:crosses val="autoZero"/>
        <c:crossBetween val="midCat"/>
      </c:valAx>
      <c:valAx>
        <c:axId val="485524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Eficien</a:t>
                </a:r>
                <a:r>
                  <a:rPr lang="ro-RO"/>
                  <a:t>ța</a:t>
                </a:r>
                <a:r>
                  <a:rPr lang="ro-RO" baseline="0"/>
                  <a:t> de captare, [%]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485526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  <c:userShapes r:id="rId3"/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o-R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280314960629922"/>
          <c:y val="5.2256532066508314E-2"/>
          <c:w val="0.76893307086614171"/>
          <c:h val="0.73680139151252177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'MDEA 10%'!$C$8:$AE$8</c:f>
              <c:numCache>
                <c:formatCode>General</c:formatCode>
                <c:ptCount val="29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2.5</c:v>
                </c:pt>
                <c:pt idx="12">
                  <c:v>3</c:v>
                </c:pt>
                <c:pt idx="13">
                  <c:v>3.5</c:v>
                </c:pt>
                <c:pt idx="14">
                  <c:v>4</c:v>
                </c:pt>
                <c:pt idx="15">
                  <c:v>4.5</c:v>
                </c:pt>
                <c:pt idx="16">
                  <c:v>5</c:v>
                </c:pt>
                <c:pt idx="17">
                  <c:v>5.5</c:v>
                </c:pt>
                <c:pt idx="18">
                  <c:v>6</c:v>
                </c:pt>
                <c:pt idx="19">
                  <c:v>6.5</c:v>
                </c:pt>
                <c:pt idx="20">
                  <c:v>7</c:v>
                </c:pt>
                <c:pt idx="21">
                  <c:v>7.5</c:v>
                </c:pt>
                <c:pt idx="22">
                  <c:v>8</c:v>
                </c:pt>
                <c:pt idx="23">
                  <c:v>8.5</c:v>
                </c:pt>
                <c:pt idx="24">
                  <c:v>9</c:v>
                </c:pt>
                <c:pt idx="25">
                  <c:v>9.4640000000000004</c:v>
                </c:pt>
                <c:pt idx="26">
                  <c:v>10</c:v>
                </c:pt>
              </c:numCache>
            </c:numRef>
          </c:xVal>
          <c:yVal>
            <c:numRef>
              <c:f>'MDEA 10%'!$C$16:$AE$16</c:f>
              <c:numCache>
                <c:formatCode>General</c:formatCode>
                <c:ptCount val="29"/>
                <c:pt idx="0">
                  <c:v>0.68754170493059641</c:v>
                </c:pt>
                <c:pt idx="1">
                  <c:v>0.67831613421564596</c:v>
                </c:pt>
                <c:pt idx="2">
                  <c:v>0.66785070948187064</c:v>
                </c:pt>
                <c:pt idx="3">
                  <c:v>0.65686343619091214</c:v>
                </c:pt>
                <c:pt idx="4">
                  <c:v>0.64567989175445717</c:v>
                </c:pt>
                <c:pt idx="5">
                  <c:v>0.63463792737311531</c:v>
                </c:pt>
                <c:pt idx="6">
                  <c:v>0.6134205946413499</c:v>
                </c:pt>
                <c:pt idx="7">
                  <c:v>0.59397769621987195</c:v>
                </c:pt>
                <c:pt idx="8">
                  <c:v>0.57639136825430115</c:v>
                </c:pt>
                <c:pt idx="9">
                  <c:v>0.56063461743156928</c:v>
                </c:pt>
                <c:pt idx="10">
                  <c:v>0.54659693906082218</c:v>
                </c:pt>
                <c:pt idx="11">
                  <c:v>0.51778515001934822</c:v>
                </c:pt>
                <c:pt idx="12">
                  <c:v>0.49598973445007499</c:v>
                </c:pt>
                <c:pt idx="13">
                  <c:v>0.47932667091831582</c:v>
                </c:pt>
                <c:pt idx="14">
                  <c:v>0.46629856056968449</c:v>
                </c:pt>
                <c:pt idx="15">
                  <c:v>0.4558959626376588</c:v>
                </c:pt>
                <c:pt idx="16">
                  <c:v>0.44747238175237253</c:v>
                </c:pt>
                <c:pt idx="17">
                  <c:v>0.44047820271147997</c:v>
                </c:pt>
                <c:pt idx="18">
                  <c:v>0.43463787419574684</c:v>
                </c:pt>
                <c:pt idx="19">
                  <c:v>0.42964648912169506</c:v>
                </c:pt>
                <c:pt idx="20">
                  <c:v>0.42525490418151057</c:v>
                </c:pt>
                <c:pt idx="21">
                  <c:v>0.42143142981905313</c:v>
                </c:pt>
                <c:pt idx="22">
                  <c:v>0.41795152366008759</c:v>
                </c:pt>
                <c:pt idx="23">
                  <c:v>0.41474127595575094</c:v>
                </c:pt>
                <c:pt idx="24">
                  <c:v>0.41174337768267461</c:v>
                </c:pt>
                <c:pt idx="25">
                  <c:v>0.40895046530941137</c:v>
                </c:pt>
                <c:pt idx="26">
                  <c:v>0.4055083887938003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913E-42E4-98C7-375C138D41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5525736"/>
        <c:axId val="485526520"/>
      </c:scatterChart>
      <c:valAx>
        <c:axId val="485525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L/G, [kg_solvent chimic/kg_gaze de ardere]</a:t>
                </a:r>
                <a:endParaRPr lang="en-US" sz="10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485526520"/>
        <c:crosses val="autoZero"/>
        <c:crossBetween val="midCat"/>
      </c:valAx>
      <c:valAx>
        <c:axId val="485526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Grad </a:t>
                </a:r>
                <a:r>
                  <a:rPr lang="ro-RO" baseline="0"/>
                  <a:t>încărcare solvent bogat în CO</a:t>
                </a:r>
                <a:r>
                  <a:rPr lang="ro-RO" baseline="-25000"/>
                  <a:t>2</a:t>
                </a:r>
                <a:r>
                  <a:rPr lang="ro-RO" baseline="0"/>
                  <a:t>, [molCO2/molamină]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485525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  <c:userShapes r:id="rId3"/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o-R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'MDEA 10%'!$C$8:$AE$8</c:f>
              <c:numCache>
                <c:formatCode>General</c:formatCode>
                <c:ptCount val="29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2.5</c:v>
                </c:pt>
                <c:pt idx="12">
                  <c:v>3</c:v>
                </c:pt>
                <c:pt idx="13">
                  <c:v>3.5</c:v>
                </c:pt>
                <c:pt idx="14">
                  <c:v>4</c:v>
                </c:pt>
                <c:pt idx="15">
                  <c:v>4.5</c:v>
                </c:pt>
                <c:pt idx="16">
                  <c:v>5</c:v>
                </c:pt>
                <c:pt idx="17">
                  <c:v>5.5</c:v>
                </c:pt>
                <c:pt idx="18">
                  <c:v>6</c:v>
                </c:pt>
                <c:pt idx="19">
                  <c:v>6.5</c:v>
                </c:pt>
                <c:pt idx="20">
                  <c:v>7</c:v>
                </c:pt>
                <c:pt idx="21">
                  <c:v>7.5</c:v>
                </c:pt>
                <c:pt idx="22">
                  <c:v>8</c:v>
                </c:pt>
                <c:pt idx="23">
                  <c:v>8.5</c:v>
                </c:pt>
                <c:pt idx="24">
                  <c:v>9</c:v>
                </c:pt>
                <c:pt idx="25">
                  <c:v>9.4640000000000004</c:v>
                </c:pt>
                <c:pt idx="26">
                  <c:v>10</c:v>
                </c:pt>
              </c:numCache>
            </c:numRef>
          </c:xVal>
          <c:yVal>
            <c:numRef>
              <c:f>'MDEA 10%'!$C$19:$AE$19</c:f>
              <c:numCache>
                <c:formatCode>General</c:formatCode>
                <c:ptCount val="29"/>
                <c:pt idx="0">
                  <c:v>442.69299999999998</c:v>
                </c:pt>
                <c:pt idx="1">
                  <c:v>534.04600000000005</c:v>
                </c:pt>
                <c:pt idx="2">
                  <c:v>625.798</c:v>
                </c:pt>
                <c:pt idx="3">
                  <c:v>717.94299999999998</c:v>
                </c:pt>
                <c:pt idx="4">
                  <c:v>810.43799999999999</c:v>
                </c:pt>
                <c:pt idx="5">
                  <c:v>903.25800000000004</c:v>
                </c:pt>
                <c:pt idx="6">
                  <c:v>1089.71</c:v>
                </c:pt>
                <c:pt idx="7">
                  <c:v>1277.04</c:v>
                </c:pt>
                <c:pt idx="8">
                  <c:v>1465.09</c:v>
                </c:pt>
                <c:pt idx="9">
                  <c:v>1653.56</c:v>
                </c:pt>
                <c:pt idx="10">
                  <c:v>1842.19</c:v>
                </c:pt>
                <c:pt idx="11">
                  <c:v>2311.3200000000002</c:v>
                </c:pt>
                <c:pt idx="12">
                  <c:v>2770.69</c:v>
                </c:pt>
                <c:pt idx="13">
                  <c:v>3226.04</c:v>
                </c:pt>
                <c:pt idx="14">
                  <c:v>3680.56</c:v>
                </c:pt>
                <c:pt idx="15">
                  <c:v>4134.62</c:v>
                </c:pt>
                <c:pt idx="16">
                  <c:v>4588.24</c:v>
                </c:pt>
                <c:pt idx="17">
                  <c:v>5042.07</c:v>
                </c:pt>
                <c:pt idx="18">
                  <c:v>5495.77</c:v>
                </c:pt>
                <c:pt idx="19">
                  <c:v>5949.26</c:v>
                </c:pt>
                <c:pt idx="20">
                  <c:v>6402.58</c:v>
                </c:pt>
                <c:pt idx="21">
                  <c:v>6856.07</c:v>
                </c:pt>
                <c:pt idx="22">
                  <c:v>7309.05</c:v>
                </c:pt>
                <c:pt idx="23">
                  <c:v>7761.87</c:v>
                </c:pt>
                <c:pt idx="24">
                  <c:v>8214.5499999999993</c:v>
                </c:pt>
                <c:pt idx="25">
                  <c:v>8633.67</c:v>
                </c:pt>
                <c:pt idx="26">
                  <c:v>9115.99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76DD-41CD-BB9C-DB6336B0C5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614720"/>
        <c:axId val="486620208"/>
      </c:scatterChart>
      <c:valAx>
        <c:axId val="486614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L/G, [kg_solvent chimic/kg_gaze de ardere]</a:t>
                </a:r>
                <a:endParaRPr lang="en-US" sz="10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486620208"/>
        <c:crosses val="autoZero"/>
        <c:crossBetween val="midCat"/>
      </c:valAx>
      <c:valAx>
        <c:axId val="486620208"/>
        <c:scaling>
          <c:orientation val="minMax"/>
          <c:min val="4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o-RO"/>
                  <a:t>Consumul</a:t>
                </a:r>
                <a:r>
                  <a:rPr lang="ro-RO" baseline="0"/>
                  <a:t> specific de energie termică, [GJ/tCO2Î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2.5867136978248089E-2"/>
              <c:y val="5.14619883040935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486614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  <c:userShapes r:id="rId3"/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o-R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'MEA 20%+DEA 10%'!$C$8:$AE$8</c:f>
              <c:numCache>
                <c:formatCode>General</c:formatCode>
                <c:ptCount val="29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  <c:pt idx="6">
                  <c:v>1.1000000000000001</c:v>
                </c:pt>
                <c:pt idx="7">
                  <c:v>1.2</c:v>
                </c:pt>
                <c:pt idx="8">
                  <c:v>1.3</c:v>
                </c:pt>
                <c:pt idx="9">
                  <c:v>1.4</c:v>
                </c:pt>
                <c:pt idx="10">
                  <c:v>1.4410000000000001</c:v>
                </c:pt>
                <c:pt idx="11">
                  <c:v>1.5</c:v>
                </c:pt>
                <c:pt idx="12">
                  <c:v>1.6</c:v>
                </c:pt>
              </c:numCache>
            </c:numRef>
          </c:xVal>
          <c:yVal>
            <c:numRef>
              <c:f>'MEA 20%+DEA 10%'!$C$12:$AE$12</c:f>
              <c:numCache>
                <c:formatCode>General</c:formatCode>
                <c:ptCount val="29"/>
                <c:pt idx="0">
                  <c:v>32.934502174184622</c:v>
                </c:pt>
                <c:pt idx="1">
                  <c:v>39.359960144312303</c:v>
                </c:pt>
                <c:pt idx="2">
                  <c:v>45.700415587304128</c:v>
                </c:pt>
                <c:pt idx="3">
                  <c:v>51.955831101050777</c:v>
                </c:pt>
                <c:pt idx="4">
                  <c:v>58.126555771905977</c:v>
                </c:pt>
                <c:pt idx="5">
                  <c:v>64.213749065258952</c:v>
                </c:pt>
                <c:pt idx="6">
                  <c:v>70.221450408917264</c:v>
                </c:pt>
                <c:pt idx="7">
                  <c:v>76.14383754119531</c:v>
                </c:pt>
                <c:pt idx="8">
                  <c:v>81.975013396188828</c:v>
                </c:pt>
                <c:pt idx="9">
                  <c:v>87.698201881126622</c:v>
                </c:pt>
                <c:pt idx="10">
                  <c:v>90.005466941646972</c:v>
                </c:pt>
                <c:pt idx="11">
                  <c:v>93.269656242200099</c:v>
                </c:pt>
                <c:pt idx="12">
                  <c:v>98.458290040391788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125D-4619-B47D-127A67AF8C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611192"/>
        <c:axId val="486622560"/>
      </c:scatterChart>
      <c:valAx>
        <c:axId val="486611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L/G,</a:t>
                </a:r>
                <a:r>
                  <a:rPr lang="en-US" baseline="0"/>
                  <a:t> [kg_solvent chimic/kg_gaze de ardere]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486622560"/>
        <c:crosses val="autoZero"/>
        <c:crossBetween val="midCat"/>
      </c:valAx>
      <c:valAx>
        <c:axId val="48662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Eficien</a:t>
                </a:r>
                <a:r>
                  <a:rPr lang="ro-RO"/>
                  <a:t>ța</a:t>
                </a:r>
                <a:r>
                  <a:rPr lang="ro-RO" baseline="0"/>
                  <a:t> de captare, [%]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486611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  <c:userShapes r:id="rId3"/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o-R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280314960629922"/>
          <c:y val="5.2256532066508314E-2"/>
          <c:w val="0.76893307086614171"/>
          <c:h val="0.73680139151252177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'MEA 20%+DEA 10%'!$C$8:$AE$8</c:f>
              <c:numCache>
                <c:formatCode>General</c:formatCode>
                <c:ptCount val="29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  <c:pt idx="6">
                  <c:v>1.1000000000000001</c:v>
                </c:pt>
                <c:pt idx="7">
                  <c:v>1.2</c:v>
                </c:pt>
                <c:pt idx="8">
                  <c:v>1.3</c:v>
                </c:pt>
                <c:pt idx="9">
                  <c:v>1.4</c:v>
                </c:pt>
                <c:pt idx="10">
                  <c:v>1.4410000000000001</c:v>
                </c:pt>
                <c:pt idx="11">
                  <c:v>1.5</c:v>
                </c:pt>
                <c:pt idx="12">
                  <c:v>1.6</c:v>
                </c:pt>
              </c:numCache>
            </c:numRef>
          </c:xVal>
          <c:yVal>
            <c:numRef>
              <c:f>'MEA 20%+DEA 10%'!$C$16:$AE$16</c:f>
              <c:numCache>
                <c:formatCode>General</c:formatCode>
                <c:ptCount val="29"/>
                <c:pt idx="0">
                  <c:v>0.56266517582492892</c:v>
                </c:pt>
                <c:pt idx="1">
                  <c:v>0.56038832679158945</c:v>
                </c:pt>
                <c:pt idx="2">
                  <c:v>0.55773137253116301</c:v>
                </c:pt>
                <c:pt idx="3">
                  <c:v>0.55483677643590446</c:v>
                </c:pt>
                <c:pt idx="4">
                  <c:v>0.55178743173767886</c:v>
                </c:pt>
                <c:pt idx="5">
                  <c:v>0.5486406258643467</c:v>
                </c:pt>
                <c:pt idx="6">
                  <c:v>0.54545499490390303</c:v>
                </c:pt>
                <c:pt idx="7">
                  <c:v>0.54220282640212247</c:v>
                </c:pt>
                <c:pt idx="8">
                  <c:v>0.53886240151664699</c:v>
                </c:pt>
                <c:pt idx="9">
                  <c:v>0.53535883162890507</c:v>
                </c:pt>
                <c:pt idx="10">
                  <c:v>0.5338390677175785</c:v>
                </c:pt>
                <c:pt idx="11">
                  <c:v>0.53149512190706449</c:v>
                </c:pt>
                <c:pt idx="12">
                  <c:v>0.52620225838825563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913E-42E4-98C7-375C138D41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619032"/>
        <c:axId val="486617856"/>
      </c:scatterChart>
      <c:valAx>
        <c:axId val="486619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L/G, [kg_solvent chimic/kg_gaze de ardere]</a:t>
                </a:r>
                <a:endParaRPr lang="en-US" sz="10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486617856"/>
        <c:crosses val="autoZero"/>
        <c:crossBetween val="midCat"/>
      </c:valAx>
      <c:valAx>
        <c:axId val="48661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Grad </a:t>
                </a:r>
                <a:r>
                  <a:rPr lang="ro-RO" baseline="0"/>
                  <a:t>încărcare solvent bogat în CO</a:t>
                </a:r>
                <a:r>
                  <a:rPr lang="ro-RO" baseline="-25000"/>
                  <a:t>2</a:t>
                </a:r>
                <a:r>
                  <a:rPr lang="ro-RO" baseline="0"/>
                  <a:t>, [molCO2/molamină]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486619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  <c:userShapes r:id="rId3"/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o-R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'MEA 20%+DEA 10%'!$C$8:$AE$8</c:f>
              <c:numCache>
                <c:formatCode>General</c:formatCode>
                <c:ptCount val="29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  <c:pt idx="6">
                  <c:v>1.1000000000000001</c:v>
                </c:pt>
                <c:pt idx="7">
                  <c:v>1.2</c:v>
                </c:pt>
                <c:pt idx="8">
                  <c:v>1.3</c:v>
                </c:pt>
                <c:pt idx="9">
                  <c:v>1.4</c:v>
                </c:pt>
                <c:pt idx="10">
                  <c:v>1.4410000000000001</c:v>
                </c:pt>
                <c:pt idx="11">
                  <c:v>1.5</c:v>
                </c:pt>
                <c:pt idx="12">
                  <c:v>1.6</c:v>
                </c:pt>
              </c:numCache>
            </c:numRef>
          </c:xVal>
          <c:yVal>
            <c:numRef>
              <c:f>'MEA 20%+DEA 10%'!$C$19:$AE$19</c:f>
              <c:numCache>
                <c:formatCode>General</c:formatCode>
                <c:ptCount val="29"/>
                <c:pt idx="0">
                  <c:v>834.99800000000005</c:v>
                </c:pt>
                <c:pt idx="1">
                  <c:v>1004.46</c:v>
                </c:pt>
                <c:pt idx="2">
                  <c:v>1174.4000000000001</c:v>
                </c:pt>
                <c:pt idx="3">
                  <c:v>1344.82</c:v>
                </c:pt>
                <c:pt idx="4">
                  <c:v>1515.47</c:v>
                </c:pt>
                <c:pt idx="5">
                  <c:v>1686.92</c:v>
                </c:pt>
                <c:pt idx="6">
                  <c:v>1858.55</c:v>
                </c:pt>
                <c:pt idx="7">
                  <c:v>2030.3</c:v>
                </c:pt>
                <c:pt idx="8">
                  <c:v>2201.7800000000002</c:v>
                </c:pt>
                <c:pt idx="9">
                  <c:v>2371.6</c:v>
                </c:pt>
                <c:pt idx="10">
                  <c:v>2440.58</c:v>
                </c:pt>
                <c:pt idx="11">
                  <c:v>2539.46</c:v>
                </c:pt>
                <c:pt idx="12">
                  <c:v>2705.07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76DD-41CD-BB9C-DB6336B0C5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621384"/>
        <c:axId val="486622952"/>
      </c:scatterChart>
      <c:valAx>
        <c:axId val="486621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L/G, [kg_solvent chimic/kg_gaze de ardere]</a:t>
                </a:r>
                <a:endParaRPr lang="en-US" sz="10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486622952"/>
        <c:crosses val="autoZero"/>
        <c:crossBetween val="midCat"/>
      </c:valAx>
      <c:valAx>
        <c:axId val="486622952"/>
        <c:scaling>
          <c:orientation val="minMax"/>
          <c:min val="4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o-RO"/>
                  <a:t>Consumul</a:t>
                </a:r>
                <a:r>
                  <a:rPr lang="ro-RO" baseline="0"/>
                  <a:t> specific de energie termică, [GJ/tCO2Î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2.5867136978248089E-2"/>
              <c:y val="5.14619883040935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486621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  <c:userShapes r:id="rId3"/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o-R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'MEA 20% + MDEA 10%'!$C$8:$AE$8</c:f>
              <c:numCache>
                <c:formatCode>General</c:formatCode>
                <c:ptCount val="29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  <c:pt idx="6">
                  <c:v>1.1000000000000001</c:v>
                </c:pt>
                <c:pt idx="7">
                  <c:v>1.2</c:v>
                </c:pt>
                <c:pt idx="8">
                  <c:v>1.3</c:v>
                </c:pt>
                <c:pt idx="9">
                  <c:v>1.4</c:v>
                </c:pt>
                <c:pt idx="10">
                  <c:v>1.5</c:v>
                </c:pt>
                <c:pt idx="11">
                  <c:v>1.5891</c:v>
                </c:pt>
                <c:pt idx="12">
                  <c:v>1.7</c:v>
                </c:pt>
                <c:pt idx="13">
                  <c:v>1.8</c:v>
                </c:pt>
              </c:numCache>
            </c:numRef>
          </c:xVal>
          <c:yVal>
            <c:numRef>
              <c:f>'MEA 20% + MDEA 10%'!$C$12:$AE$12</c:f>
              <c:numCache>
                <c:formatCode>General</c:formatCode>
                <c:ptCount val="29"/>
                <c:pt idx="0">
                  <c:v>30.750518206224765</c:v>
                </c:pt>
                <c:pt idx="1">
                  <c:v>36.668117868508645</c:v>
                </c:pt>
                <c:pt idx="2">
                  <c:v>42.477700239049348</c:v>
                </c:pt>
                <c:pt idx="3">
                  <c:v>48.181397238078638</c:v>
                </c:pt>
                <c:pt idx="4">
                  <c:v>53.786415005327306</c:v>
                </c:pt>
                <c:pt idx="5">
                  <c:v>59.298139444538776</c:v>
                </c:pt>
                <c:pt idx="6">
                  <c:v>64.719026627559032</c:v>
                </c:pt>
                <c:pt idx="7">
                  <c:v>70.057379822659144</c:v>
                </c:pt>
                <c:pt idx="8">
                  <c:v>75.314981863717193</c:v>
                </c:pt>
                <c:pt idx="9">
                  <c:v>80.485349718449385</c:v>
                </c:pt>
                <c:pt idx="10">
                  <c:v>85.567049639331458</c:v>
                </c:pt>
                <c:pt idx="11">
                  <c:v>90.000292983189752</c:v>
                </c:pt>
                <c:pt idx="12">
                  <c:v>95.330143432102332</c:v>
                </c:pt>
                <c:pt idx="13">
                  <c:v>99.47334027516483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125D-4619-B47D-127A67AF8C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621776"/>
        <c:axId val="486619424"/>
      </c:scatterChart>
      <c:valAx>
        <c:axId val="486621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L/G,</a:t>
                </a:r>
                <a:r>
                  <a:rPr lang="en-US" baseline="0"/>
                  <a:t> [kg_solvent chimic/kg_gaze de ardere]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486619424"/>
        <c:crosses val="autoZero"/>
        <c:crossBetween val="midCat"/>
      </c:valAx>
      <c:valAx>
        <c:axId val="48661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Eficien</a:t>
                </a:r>
                <a:r>
                  <a:rPr lang="ro-RO"/>
                  <a:t>ța</a:t>
                </a:r>
                <a:r>
                  <a:rPr lang="ro-RO" baseline="0"/>
                  <a:t> de captare, [%]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486621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  <c:userShapes r:id="rId3"/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o-R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280314960629922"/>
          <c:y val="5.2256532066508314E-2"/>
          <c:w val="0.76893307086614171"/>
          <c:h val="0.73680139151252177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'MEA 20% + MDEA 10%'!$C$8:$AE$8</c:f>
              <c:numCache>
                <c:formatCode>General</c:formatCode>
                <c:ptCount val="29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  <c:pt idx="6">
                  <c:v>1.1000000000000001</c:v>
                </c:pt>
                <c:pt idx="7">
                  <c:v>1.2</c:v>
                </c:pt>
                <c:pt idx="8">
                  <c:v>1.3</c:v>
                </c:pt>
                <c:pt idx="9">
                  <c:v>1.4</c:v>
                </c:pt>
                <c:pt idx="10">
                  <c:v>1.5</c:v>
                </c:pt>
                <c:pt idx="11">
                  <c:v>1.5891</c:v>
                </c:pt>
                <c:pt idx="12">
                  <c:v>1.7</c:v>
                </c:pt>
                <c:pt idx="13">
                  <c:v>1.8</c:v>
                </c:pt>
              </c:numCache>
            </c:numRef>
          </c:xVal>
          <c:yVal>
            <c:numRef>
              <c:f>'MEA 20% + MDEA 10%'!$C$16:$AE$16</c:f>
              <c:numCache>
                <c:formatCode>General</c:formatCode>
                <c:ptCount val="29"/>
                <c:pt idx="0">
                  <c:v>0.53964173736406551</c:v>
                </c:pt>
                <c:pt idx="1">
                  <c:v>0.53625750388720428</c:v>
                </c:pt>
                <c:pt idx="2">
                  <c:v>0.53249025921925597</c:v>
                </c:pt>
                <c:pt idx="3">
                  <c:v>0.5285073731257226</c:v>
                </c:pt>
                <c:pt idx="4">
                  <c:v>0.52445080197616112</c:v>
                </c:pt>
                <c:pt idx="5">
                  <c:v>0.52039015441959224</c:v>
                </c:pt>
                <c:pt idx="6">
                  <c:v>0.51634725426565486</c:v>
                </c:pt>
                <c:pt idx="7">
                  <c:v>0.51237832753329138</c:v>
                </c:pt>
                <c:pt idx="8">
                  <c:v>0.50847932292996201</c:v>
                </c:pt>
                <c:pt idx="9">
                  <c:v>0.50459744746172375</c:v>
                </c:pt>
                <c:pt idx="10">
                  <c:v>0.50072325565124653</c:v>
                </c:pt>
                <c:pt idx="11">
                  <c:v>0.49717293116217259</c:v>
                </c:pt>
                <c:pt idx="12">
                  <c:v>0.49234086464286719</c:v>
                </c:pt>
                <c:pt idx="13">
                  <c:v>0.48542367174053169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913E-42E4-98C7-375C138D41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612760"/>
        <c:axId val="486618248"/>
      </c:scatterChart>
      <c:valAx>
        <c:axId val="486612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L/G, [kg_solvent chimic/kg_gaze de ardere]</a:t>
                </a:r>
                <a:endParaRPr lang="en-US" sz="10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486618248"/>
        <c:crosses val="autoZero"/>
        <c:crossBetween val="midCat"/>
      </c:valAx>
      <c:valAx>
        <c:axId val="486618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Grad </a:t>
                </a:r>
                <a:r>
                  <a:rPr lang="ro-RO" baseline="0"/>
                  <a:t>încărcare solvent bogat în CO</a:t>
                </a:r>
                <a:r>
                  <a:rPr lang="ro-RO" baseline="-25000"/>
                  <a:t>2</a:t>
                </a:r>
                <a:r>
                  <a:rPr lang="ro-RO" baseline="0"/>
                  <a:t>, [molCO2/molamină]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486612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  <c:userShapes r:id="rId3"/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o-R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'MEA 20%+DEA 10%'!$C$8:$AE$8</c:f>
              <c:numCache>
                <c:formatCode>General</c:formatCode>
                <c:ptCount val="29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  <c:pt idx="6">
                  <c:v>1.1000000000000001</c:v>
                </c:pt>
                <c:pt idx="7">
                  <c:v>1.2</c:v>
                </c:pt>
                <c:pt idx="8">
                  <c:v>1.3</c:v>
                </c:pt>
                <c:pt idx="9">
                  <c:v>1.4</c:v>
                </c:pt>
                <c:pt idx="10">
                  <c:v>1.4410000000000001</c:v>
                </c:pt>
                <c:pt idx="11">
                  <c:v>1.5</c:v>
                </c:pt>
                <c:pt idx="12">
                  <c:v>1.6</c:v>
                </c:pt>
              </c:numCache>
            </c:numRef>
          </c:xVal>
          <c:yVal>
            <c:numRef>
              <c:f>'MEA 20%+DEA 10%'!$C$19:$AE$19</c:f>
              <c:numCache>
                <c:formatCode>General</c:formatCode>
                <c:ptCount val="29"/>
                <c:pt idx="0">
                  <c:v>834.99800000000005</c:v>
                </c:pt>
                <c:pt idx="1">
                  <c:v>1004.46</c:v>
                </c:pt>
                <c:pt idx="2">
                  <c:v>1174.4000000000001</c:v>
                </c:pt>
                <c:pt idx="3">
                  <c:v>1344.82</c:v>
                </c:pt>
                <c:pt idx="4">
                  <c:v>1515.47</c:v>
                </c:pt>
                <c:pt idx="5">
                  <c:v>1686.92</c:v>
                </c:pt>
                <c:pt idx="6">
                  <c:v>1858.55</c:v>
                </c:pt>
                <c:pt idx="7">
                  <c:v>2030.3</c:v>
                </c:pt>
                <c:pt idx="8">
                  <c:v>2201.7800000000002</c:v>
                </c:pt>
                <c:pt idx="9">
                  <c:v>2371.6</c:v>
                </c:pt>
                <c:pt idx="10">
                  <c:v>2440.58</c:v>
                </c:pt>
                <c:pt idx="11">
                  <c:v>2539.46</c:v>
                </c:pt>
                <c:pt idx="12">
                  <c:v>2705.07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76DD-41CD-BB9C-DB6336B0C5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614328"/>
        <c:axId val="486622168"/>
      </c:scatterChart>
      <c:valAx>
        <c:axId val="486614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L/G, [kg_solvent chimic/kg_gaze de ardere]</a:t>
                </a:r>
                <a:endParaRPr lang="en-US" sz="10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486622168"/>
        <c:crosses val="autoZero"/>
        <c:crossBetween val="midCat"/>
      </c:valAx>
      <c:valAx>
        <c:axId val="486622168"/>
        <c:scaling>
          <c:orientation val="minMax"/>
          <c:min val="4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o-RO"/>
                  <a:t>Consumul</a:t>
                </a:r>
                <a:r>
                  <a:rPr lang="ro-RO" baseline="0"/>
                  <a:t> specific de energie termică, [GJ/tCO2Î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2.5867136978248089E-2"/>
              <c:y val="5.14619883040935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486614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o-R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'MEA 30%'!$C$8:$N$8</c:f>
              <c:numCache>
                <c:formatCode>General</c:formatCode>
                <c:ptCount val="12"/>
                <c:pt idx="0" formatCode="0.0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  <c:pt idx="6">
                  <c:v>1.1000000000000001</c:v>
                </c:pt>
                <c:pt idx="7">
                  <c:v>1.2</c:v>
                </c:pt>
                <c:pt idx="8">
                  <c:v>1.2294</c:v>
                </c:pt>
                <c:pt idx="9">
                  <c:v>1.3</c:v>
                </c:pt>
                <c:pt idx="10">
                  <c:v>1.4</c:v>
                </c:pt>
                <c:pt idx="11">
                  <c:v>1.5</c:v>
                </c:pt>
              </c:numCache>
            </c:numRef>
          </c:xVal>
          <c:yVal>
            <c:numRef>
              <c:f>'MEA 30%'!$C$12:$N$12</c:f>
              <c:numCache>
                <c:formatCode>0.00</c:formatCode>
                <c:ptCount val="12"/>
                <c:pt idx="0" formatCode="0.0">
                  <c:v>37.776304965828182</c:v>
                </c:pt>
                <c:pt idx="1">
                  <c:v>45.186822289363164</c:v>
                </c:pt>
                <c:pt idx="2">
                  <c:v>52.524654847101417</c:v>
                </c:pt>
                <c:pt idx="3">
                  <c:v>59.785638537537636</c:v>
                </c:pt>
                <c:pt idx="4">
                  <c:v>66.973713049521137</c:v>
                </c:pt>
                <c:pt idx="5">
                  <c:v>74.078517998767737</c:v>
                </c:pt>
                <c:pt idx="6">
                  <c:v>81.093607755102951</c:v>
                </c:pt>
                <c:pt idx="7">
                  <c:v>87.99974142675083</c:v>
                </c:pt>
                <c:pt idx="8">
                  <c:v>90.002476019637598</c:v>
                </c:pt>
                <c:pt idx="9">
                  <c:v>94.726615515541951</c:v>
                </c:pt>
                <c:pt idx="10">
                  <c:v>99.992526134723903</c:v>
                </c:pt>
                <c:pt idx="11">
                  <c:v>99.999999999220563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125D-4619-B47D-127A67AF8C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076816"/>
        <c:axId val="462078776"/>
      </c:scatterChart>
      <c:valAx>
        <c:axId val="462076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L/G,</a:t>
                </a:r>
                <a:r>
                  <a:rPr lang="en-US" baseline="0"/>
                  <a:t> [kg_solvent chimic/kg_gaze de ardere]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462078776"/>
        <c:crosses val="autoZero"/>
        <c:crossBetween val="midCat"/>
      </c:valAx>
      <c:valAx>
        <c:axId val="462078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Eficien</a:t>
                </a:r>
                <a:r>
                  <a:rPr lang="ro-RO"/>
                  <a:t>ța</a:t>
                </a:r>
                <a:r>
                  <a:rPr lang="ro-RO" baseline="0"/>
                  <a:t> de captare, [%]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462076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o-R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'MEA 10% + DEA 20%'!$C$8:$AE$8</c:f>
              <c:numCache>
                <c:formatCode>General</c:formatCode>
                <c:ptCount val="29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  <c:pt idx="6">
                  <c:v>1.1000000000000001</c:v>
                </c:pt>
                <c:pt idx="7">
                  <c:v>1.2</c:v>
                </c:pt>
                <c:pt idx="8">
                  <c:v>1.3</c:v>
                </c:pt>
                <c:pt idx="9">
                  <c:v>1.4</c:v>
                </c:pt>
                <c:pt idx="10">
                  <c:v>1.5</c:v>
                </c:pt>
                <c:pt idx="11">
                  <c:v>1.6</c:v>
                </c:pt>
                <c:pt idx="12">
                  <c:v>1.7</c:v>
                </c:pt>
                <c:pt idx="13">
                  <c:v>1.7721</c:v>
                </c:pt>
                <c:pt idx="14">
                  <c:v>1.9</c:v>
                </c:pt>
                <c:pt idx="15">
                  <c:v>2</c:v>
                </c:pt>
              </c:numCache>
            </c:numRef>
          </c:xVal>
          <c:yVal>
            <c:numRef>
              <c:f>'MEA 10% + DEA 20%'!$C$12:$AE$12</c:f>
              <c:numCache>
                <c:formatCode>General</c:formatCode>
                <c:ptCount val="29"/>
                <c:pt idx="0">
                  <c:v>28.095604279698964</c:v>
                </c:pt>
                <c:pt idx="1">
                  <c:v>33.515718485793059</c:v>
                </c:pt>
                <c:pt idx="2">
                  <c:v>38.83735293802296</c:v>
                </c:pt>
                <c:pt idx="3">
                  <c:v>44.057141446549018</c:v>
                </c:pt>
                <c:pt idx="4">
                  <c:v>49.181267826780356</c:v>
                </c:pt>
                <c:pt idx="5">
                  <c:v>54.210579859861774</c:v>
                </c:pt>
                <c:pt idx="6">
                  <c:v>59.151460839118819</c:v>
                </c:pt>
                <c:pt idx="7">
                  <c:v>64.003038048667122</c:v>
                </c:pt>
                <c:pt idx="8">
                  <c:v>68.768802352044105</c:v>
                </c:pt>
                <c:pt idx="9">
                  <c:v>73.446247807924721</c:v>
                </c:pt>
                <c:pt idx="10">
                  <c:v>78.03389079930551</c:v>
                </c:pt>
                <c:pt idx="11">
                  <c:v>82.528165658430481</c:v>
                </c:pt>
                <c:pt idx="12">
                  <c:v>86.919273032655269</c:v>
                </c:pt>
                <c:pt idx="13">
                  <c:v>90.00281014514762</c:v>
                </c:pt>
                <c:pt idx="14">
                  <c:v>95.230967999004605</c:v>
                </c:pt>
                <c:pt idx="15">
                  <c:v>98.794899424481287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125D-4619-B47D-127A67AF8C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615504"/>
        <c:axId val="486623344"/>
      </c:scatterChart>
      <c:valAx>
        <c:axId val="486615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L/G,</a:t>
                </a:r>
                <a:r>
                  <a:rPr lang="en-US" baseline="0"/>
                  <a:t> [kg_solvent chimic/kg_gaze de ardere]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486623344"/>
        <c:crosses val="autoZero"/>
        <c:crossBetween val="midCat"/>
      </c:valAx>
      <c:valAx>
        <c:axId val="48662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Eficien</a:t>
                </a:r>
                <a:r>
                  <a:rPr lang="ro-RO"/>
                  <a:t>ța</a:t>
                </a:r>
                <a:r>
                  <a:rPr lang="ro-RO" baseline="0"/>
                  <a:t> de captare, [%]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486615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  <c:userShapes r:id="rId3"/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o-R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280314960629922"/>
          <c:y val="5.2256532066508314E-2"/>
          <c:w val="0.76893307086614171"/>
          <c:h val="0.73680139151252177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'MEA 10% + DEA 20%'!$C$8:$AE$8</c:f>
              <c:numCache>
                <c:formatCode>General</c:formatCode>
                <c:ptCount val="29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  <c:pt idx="6">
                  <c:v>1.1000000000000001</c:v>
                </c:pt>
                <c:pt idx="7">
                  <c:v>1.2</c:v>
                </c:pt>
                <c:pt idx="8">
                  <c:v>1.3</c:v>
                </c:pt>
                <c:pt idx="9">
                  <c:v>1.4</c:v>
                </c:pt>
                <c:pt idx="10">
                  <c:v>1.5</c:v>
                </c:pt>
                <c:pt idx="11">
                  <c:v>1.6</c:v>
                </c:pt>
                <c:pt idx="12">
                  <c:v>1.7</c:v>
                </c:pt>
                <c:pt idx="13">
                  <c:v>1.7721</c:v>
                </c:pt>
                <c:pt idx="14">
                  <c:v>1.9</c:v>
                </c:pt>
                <c:pt idx="15">
                  <c:v>2</c:v>
                </c:pt>
              </c:numCache>
            </c:numRef>
          </c:xVal>
          <c:yVal>
            <c:numRef>
              <c:f>'MEA 10% + DEA 20%'!$C$16:$AE$16</c:f>
              <c:numCache>
                <c:formatCode>General</c:formatCode>
                <c:ptCount val="29"/>
                <c:pt idx="0">
                  <c:v>0.57296569365199967</c:v>
                </c:pt>
                <c:pt idx="1">
                  <c:v>0.56959248163377363</c:v>
                </c:pt>
                <c:pt idx="2">
                  <c:v>0.56575064632167138</c:v>
                </c:pt>
                <c:pt idx="3">
                  <c:v>0.56157298316357407</c:v>
                </c:pt>
                <c:pt idx="4">
                  <c:v>0.55724129373229803</c:v>
                </c:pt>
                <c:pt idx="5">
                  <c:v>0.55281077383384314</c:v>
                </c:pt>
                <c:pt idx="6">
                  <c:v>0.54836740485398172</c:v>
                </c:pt>
                <c:pt idx="7">
                  <c:v>0.54390683130272233</c:v>
                </c:pt>
                <c:pt idx="8">
                  <c:v>0.53946134354639674</c:v>
                </c:pt>
                <c:pt idx="9">
                  <c:v>0.5350089989052631</c:v>
                </c:pt>
                <c:pt idx="10">
                  <c:v>0.5305420512774599</c:v>
                </c:pt>
                <c:pt idx="11">
                  <c:v>0.52604137339614176</c:v>
                </c:pt>
                <c:pt idx="12">
                  <c:v>0.52145513820909661</c:v>
                </c:pt>
                <c:pt idx="13">
                  <c:v>0.51799911326017101</c:v>
                </c:pt>
                <c:pt idx="14">
                  <c:v>0.51123255939995604</c:v>
                </c:pt>
                <c:pt idx="15">
                  <c:v>0.54506984096808042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913E-42E4-98C7-375C138D41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616288"/>
        <c:axId val="486616680"/>
      </c:scatterChart>
      <c:valAx>
        <c:axId val="486616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L/G, [kg_solvent chimic/kg_gaze de ardere]</a:t>
                </a:r>
                <a:endParaRPr lang="en-US" sz="10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486616680"/>
        <c:crosses val="autoZero"/>
        <c:crossBetween val="midCat"/>
      </c:valAx>
      <c:valAx>
        <c:axId val="486616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Grad </a:t>
                </a:r>
                <a:r>
                  <a:rPr lang="ro-RO" baseline="0"/>
                  <a:t>încărcare solvent bogat în CO</a:t>
                </a:r>
                <a:r>
                  <a:rPr lang="ro-RO" baseline="-25000"/>
                  <a:t>2</a:t>
                </a:r>
                <a:r>
                  <a:rPr lang="ro-RO" baseline="0"/>
                  <a:t>, [molCO2/molamină]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486616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  <c:userShapes r:id="rId3"/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o-R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823533221684538"/>
          <c:y val="5.0691244239631339E-2"/>
          <c:w val="0.78842751001600708"/>
          <c:h val="0.74468522079901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'MEA 10% + DEA 20%'!$C$8:$AE$8</c:f>
              <c:numCache>
                <c:formatCode>General</c:formatCode>
                <c:ptCount val="29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  <c:pt idx="6">
                  <c:v>1.1000000000000001</c:v>
                </c:pt>
                <c:pt idx="7">
                  <c:v>1.2</c:v>
                </c:pt>
                <c:pt idx="8">
                  <c:v>1.3</c:v>
                </c:pt>
                <c:pt idx="9">
                  <c:v>1.4</c:v>
                </c:pt>
                <c:pt idx="10">
                  <c:v>1.5</c:v>
                </c:pt>
                <c:pt idx="11">
                  <c:v>1.6</c:v>
                </c:pt>
                <c:pt idx="12">
                  <c:v>1.7</c:v>
                </c:pt>
                <c:pt idx="13">
                  <c:v>1.7721</c:v>
                </c:pt>
                <c:pt idx="14">
                  <c:v>1.9</c:v>
                </c:pt>
                <c:pt idx="15">
                  <c:v>2</c:v>
                </c:pt>
              </c:numCache>
            </c:numRef>
          </c:xVal>
          <c:yVal>
            <c:numRef>
              <c:f>'MEA 10% + DEA 20%'!$C$19:$AE$19</c:f>
              <c:numCache>
                <c:formatCode>General</c:formatCode>
                <c:ptCount val="29"/>
                <c:pt idx="0">
                  <c:v>897.06799999999998</c:v>
                </c:pt>
                <c:pt idx="1">
                  <c:v>1078.8499999999999</c:v>
                </c:pt>
                <c:pt idx="2">
                  <c:v>1261.05</c:v>
                </c:pt>
                <c:pt idx="3">
                  <c:v>1443.65</c:v>
                </c:pt>
                <c:pt idx="4">
                  <c:v>1626.56</c:v>
                </c:pt>
                <c:pt idx="5">
                  <c:v>1809.85</c:v>
                </c:pt>
                <c:pt idx="6">
                  <c:v>1993.51</c:v>
                </c:pt>
                <c:pt idx="7">
                  <c:v>2177.46</c:v>
                </c:pt>
                <c:pt idx="8">
                  <c:v>2361.6</c:v>
                </c:pt>
                <c:pt idx="9">
                  <c:v>2545.7800000000002</c:v>
                </c:pt>
                <c:pt idx="10">
                  <c:v>2729.79</c:v>
                </c:pt>
                <c:pt idx="11">
                  <c:v>2912.29</c:v>
                </c:pt>
                <c:pt idx="12">
                  <c:v>3093.67</c:v>
                </c:pt>
                <c:pt idx="13">
                  <c:v>3223.76</c:v>
                </c:pt>
                <c:pt idx="14">
                  <c:v>3453.7</c:v>
                </c:pt>
                <c:pt idx="15">
                  <c:v>3631.77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76DD-41CD-BB9C-DB6336B0C5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618640"/>
        <c:axId val="486617464"/>
      </c:scatterChart>
      <c:valAx>
        <c:axId val="486618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L/G, [kg_solvent chimic/kg_gaze de ardere]</a:t>
                </a:r>
                <a:endParaRPr lang="en-US" sz="10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486617464"/>
        <c:crosses val="autoZero"/>
        <c:crossBetween val="midCat"/>
      </c:valAx>
      <c:valAx>
        <c:axId val="486617464"/>
        <c:scaling>
          <c:orientation val="minMax"/>
          <c:min val="4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o-RO"/>
                  <a:t>Consumul</a:t>
                </a:r>
                <a:r>
                  <a:rPr lang="ro-RO" baseline="0"/>
                  <a:t> specific de energie termică, [GJ/tCO2Î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2.5867136978248089E-2"/>
              <c:y val="5.14619883040935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486618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  <c:userShapes r:id="rId3"/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o-R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'MEA 10% + MDEA 20%'!$C$8:$AE$8</c:f>
              <c:numCache>
                <c:formatCode>General</c:formatCode>
                <c:ptCount val="29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  <c:pt idx="6">
                  <c:v>1.1000000000000001</c:v>
                </c:pt>
                <c:pt idx="7">
                  <c:v>1.2</c:v>
                </c:pt>
                <c:pt idx="8">
                  <c:v>1.3</c:v>
                </c:pt>
                <c:pt idx="9">
                  <c:v>1.4</c:v>
                </c:pt>
                <c:pt idx="10">
                  <c:v>1.5</c:v>
                </c:pt>
                <c:pt idx="11">
                  <c:v>1.6</c:v>
                </c:pt>
                <c:pt idx="12">
                  <c:v>1.7</c:v>
                </c:pt>
                <c:pt idx="13">
                  <c:v>1.8</c:v>
                </c:pt>
                <c:pt idx="14">
                  <c:v>1.9</c:v>
                </c:pt>
                <c:pt idx="15">
                  <c:v>2</c:v>
                </c:pt>
                <c:pt idx="16">
                  <c:v>2.1</c:v>
                </c:pt>
                <c:pt idx="17">
                  <c:v>2.2000000000000002</c:v>
                </c:pt>
                <c:pt idx="18">
                  <c:v>2.2999999999999998</c:v>
                </c:pt>
                <c:pt idx="19">
                  <c:v>2.3925999999999998</c:v>
                </c:pt>
                <c:pt idx="20">
                  <c:v>2.5</c:v>
                </c:pt>
                <c:pt idx="21">
                  <c:v>2.6</c:v>
                </c:pt>
                <c:pt idx="22">
                  <c:v>2.7</c:v>
                </c:pt>
              </c:numCache>
            </c:numRef>
          </c:xVal>
          <c:yVal>
            <c:numRef>
              <c:f>'MEA 10% + MDEA 20%'!$C$12:$AE$12</c:f>
              <c:numCache>
                <c:formatCode>General</c:formatCode>
                <c:ptCount val="29"/>
                <c:pt idx="0">
                  <c:v>23.630490598481117</c:v>
                </c:pt>
                <c:pt idx="1">
                  <c:v>27.999206576587422</c:v>
                </c:pt>
                <c:pt idx="2">
                  <c:v>32.217029978289325</c:v>
                </c:pt>
                <c:pt idx="3">
                  <c:v>36.296041684900196</c:v>
                </c:pt>
                <c:pt idx="4">
                  <c:v>40.252511613978314</c:v>
                </c:pt>
                <c:pt idx="5">
                  <c:v>44.094306675852629</c:v>
                </c:pt>
                <c:pt idx="6">
                  <c:v>47.836774202717933</c:v>
                </c:pt>
                <c:pt idx="7">
                  <c:v>51.488840831334194</c:v>
                </c:pt>
                <c:pt idx="8">
                  <c:v>55.05789971197882</c:v>
                </c:pt>
                <c:pt idx="9">
                  <c:v>58.551244255971056</c:v>
                </c:pt>
                <c:pt idx="10">
                  <c:v>61.976591765202514</c:v>
                </c:pt>
                <c:pt idx="11">
                  <c:v>65.337308429512845</c:v>
                </c:pt>
                <c:pt idx="12">
                  <c:v>68.639927150664931</c:v>
                </c:pt>
                <c:pt idx="13">
                  <c:v>71.886766859437131</c:v>
                </c:pt>
                <c:pt idx="14">
                  <c:v>75.078987021218708</c:v>
                </c:pt>
                <c:pt idx="15">
                  <c:v>78.217348145566007</c:v>
                </c:pt>
                <c:pt idx="16">
                  <c:v>81.302486068337643</c:v>
                </c:pt>
                <c:pt idx="17">
                  <c:v>84.33964955220948</c:v>
                </c:pt>
                <c:pt idx="18">
                  <c:v>87.315161892536764</c:v>
                </c:pt>
                <c:pt idx="19">
                  <c:v>90.007995324237626</c:v>
                </c:pt>
                <c:pt idx="20">
                  <c:v>93.044643905737701</c:v>
                </c:pt>
                <c:pt idx="21">
                  <c:v>95.73941351996487</c:v>
                </c:pt>
                <c:pt idx="22">
                  <c:v>98.177283006052406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125D-4619-B47D-127A67AF8C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625304"/>
        <c:axId val="486626872"/>
      </c:scatterChart>
      <c:valAx>
        <c:axId val="486625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L/G,</a:t>
                </a:r>
                <a:r>
                  <a:rPr lang="en-US" baseline="0"/>
                  <a:t> [kg_solvent chimic/kg_gaze de ardere]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486626872"/>
        <c:crosses val="autoZero"/>
        <c:crossBetween val="midCat"/>
      </c:valAx>
      <c:valAx>
        <c:axId val="486626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Eficien</a:t>
                </a:r>
                <a:r>
                  <a:rPr lang="ro-RO"/>
                  <a:t>ța</a:t>
                </a:r>
                <a:r>
                  <a:rPr lang="ro-RO" baseline="0"/>
                  <a:t> de captare, [%]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486625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  <c:userShapes r:id="rId3"/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o-R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280314960629922"/>
          <c:y val="5.2256532066508314E-2"/>
          <c:w val="0.76893307086614171"/>
          <c:h val="0.73680139151252177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'MEA 10% + MDEA 20%'!$C$8:$AE$8</c:f>
              <c:numCache>
                <c:formatCode>General</c:formatCode>
                <c:ptCount val="29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  <c:pt idx="6">
                  <c:v>1.1000000000000001</c:v>
                </c:pt>
                <c:pt idx="7">
                  <c:v>1.2</c:v>
                </c:pt>
                <c:pt idx="8">
                  <c:v>1.3</c:v>
                </c:pt>
                <c:pt idx="9">
                  <c:v>1.4</c:v>
                </c:pt>
                <c:pt idx="10">
                  <c:v>1.5</c:v>
                </c:pt>
                <c:pt idx="11">
                  <c:v>1.6</c:v>
                </c:pt>
                <c:pt idx="12">
                  <c:v>1.7</c:v>
                </c:pt>
                <c:pt idx="13">
                  <c:v>1.8</c:v>
                </c:pt>
                <c:pt idx="14">
                  <c:v>1.9</c:v>
                </c:pt>
                <c:pt idx="15">
                  <c:v>2</c:v>
                </c:pt>
                <c:pt idx="16">
                  <c:v>2.1</c:v>
                </c:pt>
                <c:pt idx="17">
                  <c:v>2.2000000000000002</c:v>
                </c:pt>
                <c:pt idx="18">
                  <c:v>2.2999999999999998</c:v>
                </c:pt>
                <c:pt idx="19">
                  <c:v>2.3925999999999998</c:v>
                </c:pt>
                <c:pt idx="20">
                  <c:v>2.5</c:v>
                </c:pt>
                <c:pt idx="21">
                  <c:v>2.6</c:v>
                </c:pt>
                <c:pt idx="22">
                  <c:v>2.7</c:v>
                </c:pt>
              </c:numCache>
            </c:numRef>
          </c:xVal>
          <c:yVal>
            <c:numRef>
              <c:f>'MEA 10% + MDEA 20%'!$C$16:$AE$16</c:f>
              <c:numCache>
                <c:formatCode>General</c:formatCode>
                <c:ptCount val="29"/>
                <c:pt idx="0">
                  <c:v>0.51445415099631642</c:v>
                </c:pt>
                <c:pt idx="1">
                  <c:v>0.50797586490190394</c:v>
                </c:pt>
                <c:pt idx="2">
                  <c:v>0.50100257854669639</c:v>
                </c:pt>
                <c:pt idx="3">
                  <c:v>0.49388439024805436</c:v>
                </c:pt>
                <c:pt idx="4">
                  <c:v>0.48686648151993667</c:v>
                </c:pt>
                <c:pt idx="5">
                  <c:v>0.48000387046717075</c:v>
                </c:pt>
                <c:pt idx="6">
                  <c:v>0.47340631264671473</c:v>
                </c:pt>
                <c:pt idx="7">
                  <c:v>0.46708859045717355</c:v>
                </c:pt>
                <c:pt idx="8">
                  <c:v>0.46104771772316794</c:v>
                </c:pt>
                <c:pt idx="9">
                  <c:v>0.45528150040254273</c:v>
                </c:pt>
                <c:pt idx="10">
                  <c:v>0.44979032429550275</c:v>
                </c:pt>
                <c:pt idx="11">
                  <c:v>0.4445458631616358</c:v>
                </c:pt>
                <c:pt idx="12">
                  <c:v>0.43954727699664131</c:v>
                </c:pt>
                <c:pt idx="13">
                  <c:v>0.43476637722173345</c:v>
                </c:pt>
                <c:pt idx="14">
                  <c:v>0.43017642674151424</c:v>
                </c:pt>
                <c:pt idx="15">
                  <c:v>0.42575256909252079</c:v>
                </c:pt>
                <c:pt idx="16">
                  <c:v>0.42147475874325485</c:v>
                </c:pt>
                <c:pt idx="17">
                  <c:v>0.41734871193362005</c:v>
                </c:pt>
                <c:pt idx="18">
                  <c:v>0.41329114219925445</c:v>
                </c:pt>
                <c:pt idx="19">
                  <c:v>0.409552922660254</c:v>
                </c:pt>
                <c:pt idx="20">
                  <c:v>0.40518929835347334</c:v>
                </c:pt>
                <c:pt idx="21">
                  <c:v>0.40089927293071298</c:v>
                </c:pt>
                <c:pt idx="22">
                  <c:v>0.39590081742036437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913E-42E4-98C7-375C138D41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626088"/>
        <c:axId val="486625696"/>
      </c:scatterChart>
      <c:valAx>
        <c:axId val="486626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L/G, [kg_solvent chimic/kg_gaze de ardere]</a:t>
                </a:r>
                <a:endParaRPr lang="en-US" sz="10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486625696"/>
        <c:crosses val="autoZero"/>
        <c:crossBetween val="midCat"/>
      </c:valAx>
      <c:valAx>
        <c:axId val="48662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Grad </a:t>
                </a:r>
                <a:r>
                  <a:rPr lang="ro-RO" baseline="0"/>
                  <a:t>încărcare solvent bogat în CO</a:t>
                </a:r>
                <a:r>
                  <a:rPr lang="ro-RO" baseline="-25000"/>
                  <a:t>2</a:t>
                </a:r>
                <a:r>
                  <a:rPr lang="ro-RO" baseline="0"/>
                  <a:t>, [molCO2/molamină]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486626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  <c:userShapes r:id="rId3"/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o-R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823533221684538"/>
          <c:y val="5.0691244239631339E-2"/>
          <c:w val="0.78842751001600708"/>
          <c:h val="0.74468522079901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'MEA 10% + MDEA 20%'!$C$8:$AE$8</c:f>
              <c:numCache>
                <c:formatCode>General</c:formatCode>
                <c:ptCount val="29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  <c:pt idx="6">
                  <c:v>1.1000000000000001</c:v>
                </c:pt>
                <c:pt idx="7">
                  <c:v>1.2</c:v>
                </c:pt>
                <c:pt idx="8">
                  <c:v>1.3</c:v>
                </c:pt>
                <c:pt idx="9">
                  <c:v>1.4</c:v>
                </c:pt>
                <c:pt idx="10">
                  <c:v>1.5</c:v>
                </c:pt>
                <c:pt idx="11">
                  <c:v>1.6</c:v>
                </c:pt>
                <c:pt idx="12">
                  <c:v>1.7</c:v>
                </c:pt>
                <c:pt idx="13">
                  <c:v>1.8</c:v>
                </c:pt>
                <c:pt idx="14">
                  <c:v>1.9</c:v>
                </c:pt>
                <c:pt idx="15">
                  <c:v>2</c:v>
                </c:pt>
                <c:pt idx="16">
                  <c:v>2.1</c:v>
                </c:pt>
                <c:pt idx="17">
                  <c:v>2.2000000000000002</c:v>
                </c:pt>
                <c:pt idx="18">
                  <c:v>2.2999999999999998</c:v>
                </c:pt>
                <c:pt idx="19">
                  <c:v>2.3925999999999998</c:v>
                </c:pt>
                <c:pt idx="20">
                  <c:v>2.5</c:v>
                </c:pt>
                <c:pt idx="21">
                  <c:v>2.6</c:v>
                </c:pt>
                <c:pt idx="22">
                  <c:v>2.7</c:v>
                </c:pt>
              </c:numCache>
            </c:numRef>
          </c:xVal>
          <c:yVal>
            <c:numRef>
              <c:f>'MEA 10% + MDEA 20%'!$C$19:$AE$19</c:f>
              <c:numCache>
                <c:formatCode>General</c:formatCode>
                <c:ptCount val="29"/>
                <c:pt idx="0">
                  <c:v>713.49699999999996</c:v>
                </c:pt>
                <c:pt idx="1">
                  <c:v>859.42700000000002</c:v>
                </c:pt>
                <c:pt idx="2">
                  <c:v>1005.94</c:v>
                </c:pt>
                <c:pt idx="3">
                  <c:v>1153.02</c:v>
                </c:pt>
                <c:pt idx="4">
                  <c:v>1300.57</c:v>
                </c:pt>
                <c:pt idx="5">
                  <c:v>1448.53</c:v>
                </c:pt>
                <c:pt idx="6">
                  <c:v>1596.95</c:v>
                </c:pt>
                <c:pt idx="7">
                  <c:v>1745.67</c:v>
                </c:pt>
                <c:pt idx="8">
                  <c:v>1894.7</c:v>
                </c:pt>
                <c:pt idx="9">
                  <c:v>2043.9</c:v>
                </c:pt>
                <c:pt idx="10">
                  <c:v>2192.81</c:v>
                </c:pt>
                <c:pt idx="11">
                  <c:v>2340.0500000000002</c:v>
                </c:pt>
                <c:pt idx="12">
                  <c:v>2484.85</c:v>
                </c:pt>
                <c:pt idx="13">
                  <c:v>2626.69</c:v>
                </c:pt>
                <c:pt idx="14">
                  <c:v>2767.41</c:v>
                </c:pt>
                <c:pt idx="15">
                  <c:v>2907.5</c:v>
                </c:pt>
                <c:pt idx="16">
                  <c:v>3047.07</c:v>
                </c:pt>
                <c:pt idx="17">
                  <c:v>3186.2</c:v>
                </c:pt>
                <c:pt idx="18">
                  <c:v>3324.82</c:v>
                </c:pt>
                <c:pt idx="19">
                  <c:v>3452.65</c:v>
                </c:pt>
                <c:pt idx="20">
                  <c:v>3600.27</c:v>
                </c:pt>
                <c:pt idx="21">
                  <c:v>3736.68</c:v>
                </c:pt>
                <c:pt idx="22">
                  <c:v>3871.12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76DD-41CD-BB9C-DB6336B0C5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624520"/>
        <c:axId val="487085656"/>
      </c:scatterChart>
      <c:valAx>
        <c:axId val="486624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L/G, [kg_solvent chimic/kg_gaze de ardere]</a:t>
                </a:r>
                <a:endParaRPr lang="en-US" sz="10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487085656"/>
        <c:crosses val="autoZero"/>
        <c:crossBetween val="midCat"/>
      </c:valAx>
      <c:valAx>
        <c:axId val="487085656"/>
        <c:scaling>
          <c:orientation val="minMax"/>
          <c:min val="4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o-RO"/>
                  <a:t>Consumul</a:t>
                </a:r>
                <a:r>
                  <a:rPr lang="ro-RO" baseline="0"/>
                  <a:t> specific de energie termică, [GJ/tCO2Î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2.5867136978248089E-2"/>
              <c:y val="5.14619883040935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486624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  <c:userShapes r:id="rId3"/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o-R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'DEA 10% + MDEA 20%'!$C$8:$AE$8</c:f>
              <c:numCache>
                <c:formatCode>General</c:formatCode>
                <c:ptCount val="29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3.7229000000000001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</c:numCache>
            </c:numRef>
          </c:xVal>
          <c:yVal>
            <c:numRef>
              <c:f>'DEA 10% + MDEA 20%'!$C$12:$AE$12</c:f>
              <c:numCache>
                <c:formatCode>0.00</c:formatCode>
                <c:ptCount val="29"/>
                <c:pt idx="0">
                  <c:v>19.075836267528803</c:v>
                </c:pt>
                <c:pt idx="1">
                  <c:v>22.462908951546563</c:v>
                </c:pt>
                <c:pt idx="2">
                  <c:v>25.675625469240625</c:v>
                </c:pt>
                <c:pt idx="3">
                  <c:v>28.736838509411243</c:v>
                </c:pt>
                <c:pt idx="4">
                  <c:v>31.656359892072466</c:v>
                </c:pt>
                <c:pt idx="5">
                  <c:v>34.456792958629038</c:v>
                </c:pt>
                <c:pt idx="6">
                  <c:v>39.743481373375531</c:v>
                </c:pt>
                <c:pt idx="7">
                  <c:v>44.691431351295819</c:v>
                </c:pt>
                <c:pt idx="8">
                  <c:v>49.365448280487897</c:v>
                </c:pt>
                <c:pt idx="9">
                  <c:v>53.817895114012849</c:v>
                </c:pt>
                <c:pt idx="10">
                  <c:v>58.090288193226279</c:v>
                </c:pt>
                <c:pt idx="11">
                  <c:v>62.204694762632492</c:v>
                </c:pt>
                <c:pt idx="12">
                  <c:v>66.190251065399082</c:v>
                </c:pt>
                <c:pt idx="13">
                  <c:v>70.057442159508028</c:v>
                </c:pt>
                <c:pt idx="14">
                  <c:v>73.82984384120661</c:v>
                </c:pt>
                <c:pt idx="15">
                  <c:v>77.505773015574988</c:v>
                </c:pt>
                <c:pt idx="16">
                  <c:v>81.091488302240961</c:v>
                </c:pt>
                <c:pt idx="17">
                  <c:v>84.584645835686558</c:v>
                </c:pt>
                <c:pt idx="18">
                  <c:v>87.977311381786024</c:v>
                </c:pt>
                <c:pt idx="19">
                  <c:v>90.001665640602141</c:v>
                </c:pt>
                <c:pt idx="20">
                  <c:v>94.342532008101799</c:v>
                </c:pt>
                <c:pt idx="21">
                  <c:v>97.141174760358453</c:v>
                </c:pt>
                <c:pt idx="22">
                  <c:v>99.29738491931991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125D-4619-B47D-127A67AF8C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086048"/>
        <c:axId val="487079384"/>
      </c:scatterChart>
      <c:valAx>
        <c:axId val="487086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L/G,</a:t>
                </a:r>
                <a:r>
                  <a:rPr lang="en-US" baseline="0"/>
                  <a:t> [kg_solvent chimic/kg_gaze de ardere]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487079384"/>
        <c:crosses val="autoZero"/>
        <c:crossBetween val="midCat"/>
      </c:valAx>
      <c:valAx>
        <c:axId val="487079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Eficien</a:t>
                </a:r>
                <a:r>
                  <a:rPr lang="ro-RO"/>
                  <a:t>ța</a:t>
                </a:r>
                <a:r>
                  <a:rPr lang="ro-RO" baseline="0"/>
                  <a:t> de captare, [%]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487086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  <c:userShapes r:id="rId3"/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o-R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280314960629922"/>
          <c:y val="5.2256532066508314E-2"/>
          <c:w val="0.76893307086614171"/>
          <c:h val="0.73680139151252177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'DEA 10% + MDEA 20%'!$C$8:$AE$8</c:f>
              <c:numCache>
                <c:formatCode>General</c:formatCode>
                <c:ptCount val="29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3.7229000000000001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</c:numCache>
            </c:numRef>
          </c:xVal>
          <c:yVal>
            <c:numRef>
              <c:f>'DEA 10% + MDEA 20%'!$C$16:$AE$16</c:f>
              <c:numCache>
                <c:formatCode>General</c:formatCode>
                <c:ptCount val="29"/>
                <c:pt idx="0">
                  <c:v>0.52360216005985705</c:v>
                </c:pt>
                <c:pt idx="1">
                  <c:v>0.51381089755898957</c:v>
                </c:pt>
                <c:pt idx="2">
                  <c:v>0.50339828473730752</c:v>
                </c:pt>
                <c:pt idx="3">
                  <c:v>0.49299023040336432</c:v>
                </c:pt>
                <c:pt idx="4">
                  <c:v>0.48273394363228644</c:v>
                </c:pt>
                <c:pt idx="5">
                  <c:v>0.47289404266246171</c:v>
                </c:pt>
                <c:pt idx="6">
                  <c:v>0.45454189474223217</c:v>
                </c:pt>
                <c:pt idx="7">
                  <c:v>0.43811215372417045</c:v>
                </c:pt>
                <c:pt idx="8">
                  <c:v>0.42343974976299431</c:v>
                </c:pt>
                <c:pt idx="9">
                  <c:v>0.41033838468015832</c:v>
                </c:pt>
                <c:pt idx="10">
                  <c:v>0.39862190530932351</c:v>
                </c:pt>
                <c:pt idx="11">
                  <c:v>0.3880498671241448</c:v>
                </c:pt>
                <c:pt idx="12">
                  <c:v>0.37850304396977713</c:v>
                </c:pt>
                <c:pt idx="13">
                  <c:v>0.36979996628742917</c:v>
                </c:pt>
                <c:pt idx="14">
                  <c:v>0.3618756447811321</c:v>
                </c:pt>
                <c:pt idx="15">
                  <c:v>0.35456663974172131</c:v>
                </c:pt>
                <c:pt idx="16">
                  <c:v>0.34778432258002262</c:v>
                </c:pt>
                <c:pt idx="17">
                  <c:v>0.34142600639230958</c:v>
                </c:pt>
                <c:pt idx="18">
                  <c:v>0.33539146470232889</c:v>
                </c:pt>
                <c:pt idx="19">
                  <c:v>0.3317818663437922</c:v>
                </c:pt>
                <c:pt idx="20">
                  <c:v>0.32369073062755349</c:v>
                </c:pt>
                <c:pt idx="21">
                  <c:v>0.31742164745410822</c:v>
                </c:pt>
                <c:pt idx="22">
                  <c:v>0.30971821394764887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913E-42E4-98C7-375C138D41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078600"/>
        <c:axId val="487088400"/>
      </c:scatterChart>
      <c:valAx>
        <c:axId val="487078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L/G, [kg_solvent chimic/kg_gaze de ardere]</a:t>
                </a:r>
                <a:endParaRPr lang="en-US" sz="10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487088400"/>
        <c:crosses val="autoZero"/>
        <c:crossBetween val="midCat"/>
      </c:valAx>
      <c:valAx>
        <c:axId val="48708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Grad </a:t>
                </a:r>
                <a:r>
                  <a:rPr lang="ro-RO" baseline="0"/>
                  <a:t>încărcare solvent bogat în CO</a:t>
                </a:r>
                <a:r>
                  <a:rPr lang="ro-RO" baseline="-25000"/>
                  <a:t>2</a:t>
                </a:r>
                <a:r>
                  <a:rPr lang="ro-RO" baseline="0"/>
                  <a:t>, [molCO2/molamină]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487078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o-R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823533221684538"/>
          <c:y val="5.0691244239631339E-2"/>
          <c:w val="0.78842751001600708"/>
          <c:h val="0.74468522079901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'DEA 10% + MDEA 20%'!$C$8:$AE$8</c:f>
              <c:numCache>
                <c:formatCode>General</c:formatCode>
                <c:ptCount val="29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3.7229000000000001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</c:numCache>
            </c:numRef>
          </c:xVal>
          <c:yVal>
            <c:numRef>
              <c:f>'DEA 10% + MDEA 20%'!$C$19:$AE$19</c:f>
              <c:numCache>
                <c:formatCode>General</c:formatCode>
                <c:ptCount val="29"/>
                <c:pt idx="0">
                  <c:v>555.57299999999998</c:v>
                </c:pt>
                <c:pt idx="1">
                  <c:v>669.98400000000004</c:v>
                </c:pt>
                <c:pt idx="2">
                  <c:v>784.99400000000003</c:v>
                </c:pt>
                <c:pt idx="3">
                  <c:v>900.47699999999998</c:v>
                </c:pt>
                <c:pt idx="4">
                  <c:v>1016.51</c:v>
                </c:pt>
                <c:pt idx="5">
                  <c:v>1132.9100000000001</c:v>
                </c:pt>
                <c:pt idx="6">
                  <c:v>1366.83</c:v>
                </c:pt>
                <c:pt idx="7">
                  <c:v>1601.94</c:v>
                </c:pt>
                <c:pt idx="8">
                  <c:v>1837.65</c:v>
                </c:pt>
                <c:pt idx="9">
                  <c:v>2071.34</c:v>
                </c:pt>
                <c:pt idx="10">
                  <c:v>2293.54</c:v>
                </c:pt>
                <c:pt idx="11">
                  <c:v>2509.14</c:v>
                </c:pt>
                <c:pt idx="12">
                  <c:v>2722.75</c:v>
                </c:pt>
                <c:pt idx="13">
                  <c:v>2934.77</c:v>
                </c:pt>
                <c:pt idx="14">
                  <c:v>3146.95</c:v>
                </c:pt>
                <c:pt idx="15">
                  <c:v>3356</c:v>
                </c:pt>
                <c:pt idx="16">
                  <c:v>3565.11</c:v>
                </c:pt>
                <c:pt idx="17">
                  <c:v>3773.25</c:v>
                </c:pt>
                <c:pt idx="18">
                  <c:v>3980.21</c:v>
                </c:pt>
                <c:pt idx="19">
                  <c:v>4106.92</c:v>
                </c:pt>
                <c:pt idx="20">
                  <c:v>4390.18</c:v>
                </c:pt>
                <c:pt idx="21">
                  <c:v>4591.2</c:v>
                </c:pt>
                <c:pt idx="22">
                  <c:v>4785.4799999999996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76DD-41CD-BB9C-DB6336B0C5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080168"/>
        <c:axId val="487083304"/>
      </c:scatterChart>
      <c:valAx>
        <c:axId val="487080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L/G, [kg_solvent chimic/kg_gaze de ardere]</a:t>
                </a:r>
                <a:endParaRPr lang="en-US" sz="10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487083304"/>
        <c:crosses val="autoZero"/>
        <c:crossBetween val="midCat"/>
      </c:valAx>
      <c:valAx>
        <c:axId val="487083304"/>
        <c:scaling>
          <c:orientation val="minMax"/>
          <c:min val="4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o-RO"/>
                  <a:t>Consumul</a:t>
                </a:r>
                <a:r>
                  <a:rPr lang="ro-RO" baseline="0"/>
                  <a:t> specific de energie termică, [GJ/tCO2Î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2.5867136978248089E-2"/>
              <c:y val="5.14619883040935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487080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  <c:userShapes r:id="rId3"/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o-R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'DEA 20% + MDEA 10%'!$C$8:$AE$8</c:f>
              <c:numCache>
                <c:formatCode>General</c:formatCode>
                <c:ptCount val="29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2.8653</c:v>
                </c:pt>
                <c:pt idx="16">
                  <c:v>3.2</c:v>
                </c:pt>
                <c:pt idx="17">
                  <c:v>3.4</c:v>
                </c:pt>
              </c:numCache>
            </c:numRef>
          </c:xVal>
          <c:yVal>
            <c:numRef>
              <c:f>'DEA 20% + MDEA 10%'!$C$12:$AE$12</c:f>
              <c:numCache>
                <c:formatCode>0.00</c:formatCode>
                <c:ptCount val="29"/>
                <c:pt idx="0">
                  <c:v>21.284343551838955</c:v>
                </c:pt>
                <c:pt idx="1">
                  <c:v>25.214183179074567</c:v>
                </c:pt>
                <c:pt idx="2">
                  <c:v>29.000062087501487</c:v>
                </c:pt>
                <c:pt idx="3">
                  <c:v>32.648974471564301</c:v>
                </c:pt>
                <c:pt idx="4">
                  <c:v>36.173051082055494</c:v>
                </c:pt>
                <c:pt idx="5">
                  <c:v>39.585070972995922</c:v>
                </c:pt>
                <c:pt idx="6">
                  <c:v>46.10632821248587</c:v>
                </c:pt>
                <c:pt idx="7">
                  <c:v>52.275157843135055</c:v>
                </c:pt>
                <c:pt idx="8">
                  <c:v>58.146765378313603</c:v>
                </c:pt>
                <c:pt idx="9">
                  <c:v>63.757730080945642</c:v>
                </c:pt>
                <c:pt idx="10">
                  <c:v>69.138422463806592</c:v>
                </c:pt>
                <c:pt idx="11">
                  <c:v>74.306608528827923</c:v>
                </c:pt>
                <c:pt idx="12">
                  <c:v>79.27439409206255</c:v>
                </c:pt>
                <c:pt idx="13">
                  <c:v>84.040308003876845</c:v>
                </c:pt>
                <c:pt idx="14">
                  <c:v>88.580118684373318</c:v>
                </c:pt>
                <c:pt idx="15">
                  <c:v>90.007428058912808</c:v>
                </c:pt>
                <c:pt idx="16">
                  <c:v>96.641645902262312</c:v>
                </c:pt>
                <c:pt idx="17">
                  <c:v>99.39604420330889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125D-4619-B47D-127A67AF8C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086832"/>
        <c:axId val="487084480"/>
      </c:scatterChart>
      <c:valAx>
        <c:axId val="487086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L/G,</a:t>
                </a:r>
                <a:r>
                  <a:rPr lang="en-US" baseline="0"/>
                  <a:t> [kg_solvent chimic/kg_gaze de ardere]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487084480"/>
        <c:crosses val="autoZero"/>
        <c:crossBetween val="midCat"/>
      </c:valAx>
      <c:valAx>
        <c:axId val="48708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Eficien</a:t>
                </a:r>
                <a:r>
                  <a:rPr lang="ro-RO"/>
                  <a:t>ța</a:t>
                </a:r>
                <a:r>
                  <a:rPr lang="ro-RO" baseline="0"/>
                  <a:t> de captare, [%]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487086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o-R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280314960629922"/>
          <c:y val="5.2256532066508314E-2"/>
          <c:w val="0.76893307086614171"/>
          <c:h val="0.73680139151252177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'MEA 30%'!$C$8:$N$8</c:f>
              <c:numCache>
                <c:formatCode>General</c:formatCode>
                <c:ptCount val="12"/>
                <c:pt idx="0" formatCode="0.0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  <c:pt idx="6">
                  <c:v>1.1000000000000001</c:v>
                </c:pt>
                <c:pt idx="7">
                  <c:v>1.2</c:v>
                </c:pt>
                <c:pt idx="8">
                  <c:v>1.2294</c:v>
                </c:pt>
                <c:pt idx="9">
                  <c:v>1.3</c:v>
                </c:pt>
                <c:pt idx="10">
                  <c:v>1.4</c:v>
                </c:pt>
                <c:pt idx="11">
                  <c:v>1.5</c:v>
                </c:pt>
              </c:numCache>
            </c:numRef>
          </c:xVal>
          <c:yVal>
            <c:numRef>
              <c:f>'MEA 30%'!$C$16:$N$16</c:f>
              <c:numCache>
                <c:formatCode>0.000</c:formatCode>
                <c:ptCount val="12"/>
                <c:pt idx="0" formatCode="0.00">
                  <c:v>0.55537394881723035</c:v>
                </c:pt>
                <c:pt idx="1">
                  <c:v>0.55365702618886614</c:v>
                </c:pt>
                <c:pt idx="2" formatCode="General">
                  <c:v>0.5516878005907262</c:v>
                </c:pt>
                <c:pt idx="3" formatCode="General">
                  <c:v>0.54952568000347557</c:v>
                </c:pt>
                <c:pt idx="4" formatCode="General">
                  <c:v>0.54726985461211941</c:v>
                </c:pt>
                <c:pt idx="5" formatCode="General">
                  <c:v>0.54487837201108058</c:v>
                </c:pt>
                <c:pt idx="6" formatCode="General">
                  <c:v>0.54235835198438775</c:v>
                </c:pt>
                <c:pt idx="7" formatCode="General">
                  <c:v>0.53964666835592356</c:v>
                </c:pt>
                <c:pt idx="8" formatCode="General">
                  <c:v>0.53878643417106487</c:v>
                </c:pt>
                <c:pt idx="9" formatCode="General">
                  <c:v>0.53646720884589905</c:v>
                </c:pt>
                <c:pt idx="10" formatCode="General">
                  <c:v>0.52693593055418209</c:v>
                </c:pt>
                <c:pt idx="11" formatCode="General">
                  <c:v>0.49131245273965118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913E-42E4-98C7-375C138D41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076032"/>
        <c:axId val="462077208"/>
      </c:scatterChart>
      <c:valAx>
        <c:axId val="462076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L/G, [kg_solvent chimic/kg_gaze de ardere]</a:t>
                </a:r>
                <a:endParaRPr lang="en-US" sz="10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462077208"/>
        <c:crosses val="autoZero"/>
        <c:crossBetween val="midCat"/>
      </c:valAx>
      <c:valAx>
        <c:axId val="462077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Grad </a:t>
                </a:r>
                <a:r>
                  <a:rPr lang="ro-RO" baseline="0"/>
                  <a:t>încărcare solvent bogat în CO</a:t>
                </a:r>
                <a:r>
                  <a:rPr lang="ro-RO" baseline="-25000"/>
                  <a:t>2</a:t>
                </a:r>
                <a:r>
                  <a:rPr lang="ro-RO" baseline="0"/>
                  <a:t>, [molCO2/molamină]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462076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  <c:userShapes r:id="rId3"/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o-R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280314960629922"/>
          <c:y val="5.2256532066508314E-2"/>
          <c:w val="0.76893307086614171"/>
          <c:h val="0.73680139151252177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'DEA 20% + MDEA 10%'!$C$8:$AE$8</c:f>
              <c:numCache>
                <c:formatCode>General</c:formatCode>
                <c:ptCount val="29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2.8653</c:v>
                </c:pt>
                <c:pt idx="16">
                  <c:v>3.2</c:v>
                </c:pt>
                <c:pt idx="17">
                  <c:v>3.4</c:v>
                </c:pt>
              </c:numCache>
            </c:numRef>
          </c:xVal>
          <c:yVal>
            <c:numRef>
              <c:f>'DEA 20% + MDEA 10%'!$C$16:$AE$16</c:f>
              <c:numCache>
                <c:formatCode>General</c:formatCode>
                <c:ptCount val="29"/>
                <c:pt idx="0">
                  <c:v>0.56035713733692372</c:v>
                </c:pt>
                <c:pt idx="1">
                  <c:v>0.55318272988669714</c:v>
                </c:pt>
                <c:pt idx="2">
                  <c:v>0.54535111968850625</c:v>
                </c:pt>
                <c:pt idx="3">
                  <c:v>0.53722363105689563</c:v>
                </c:pt>
                <c:pt idx="4">
                  <c:v>0.52907862182780363</c:v>
                </c:pt>
                <c:pt idx="5">
                  <c:v>0.52108335901619351</c:v>
                </c:pt>
                <c:pt idx="6">
                  <c:v>0.50577274780556503</c:v>
                </c:pt>
                <c:pt idx="7">
                  <c:v>0.4915222548162792</c:v>
                </c:pt>
                <c:pt idx="8">
                  <c:v>0.47838909084720516</c:v>
                </c:pt>
                <c:pt idx="9">
                  <c:v>0.46626848262813825</c:v>
                </c:pt>
                <c:pt idx="10">
                  <c:v>0.45505590466225859</c:v>
                </c:pt>
                <c:pt idx="11">
                  <c:v>0.44461087364199148</c:v>
                </c:pt>
                <c:pt idx="12">
                  <c:v>0.43480709006676804</c:v>
                </c:pt>
                <c:pt idx="13">
                  <c:v>0.42548958928281722</c:v>
                </c:pt>
                <c:pt idx="14">
                  <c:v>0.41643992509015493</c:v>
                </c:pt>
                <c:pt idx="15">
                  <c:v>0.4135064417819701</c:v>
                </c:pt>
                <c:pt idx="16">
                  <c:v>0.39754635900378227</c:v>
                </c:pt>
                <c:pt idx="17">
                  <c:v>0.38482474459822402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913E-42E4-98C7-375C138D41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084872"/>
        <c:axId val="487085264"/>
      </c:scatterChart>
      <c:valAx>
        <c:axId val="487084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L/G, [kg_solvent chimic/kg_gaze de ardere]</a:t>
                </a:r>
                <a:endParaRPr lang="en-US" sz="10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487085264"/>
        <c:crosses val="autoZero"/>
        <c:crossBetween val="midCat"/>
      </c:valAx>
      <c:valAx>
        <c:axId val="48708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Grad </a:t>
                </a:r>
                <a:r>
                  <a:rPr lang="ro-RO" baseline="0"/>
                  <a:t>încărcare solvent bogat în CO</a:t>
                </a:r>
                <a:r>
                  <a:rPr lang="ro-RO" baseline="-25000"/>
                  <a:t>2</a:t>
                </a:r>
                <a:r>
                  <a:rPr lang="ro-RO" baseline="0"/>
                  <a:t>, [molCO2/molamină]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487084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  <c:userShapes r:id="rId3"/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o-R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823533221684538"/>
          <c:y val="5.0691244239631339E-2"/>
          <c:w val="0.78842751001600708"/>
          <c:h val="0.74468522079901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'DEA 20% + MDEA 10%'!$C$8:$AE$8</c:f>
              <c:numCache>
                <c:formatCode>General</c:formatCode>
                <c:ptCount val="29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2.8653</c:v>
                </c:pt>
                <c:pt idx="16">
                  <c:v>3.2</c:v>
                </c:pt>
                <c:pt idx="17">
                  <c:v>3.4</c:v>
                </c:pt>
              </c:numCache>
            </c:numRef>
          </c:xVal>
          <c:yVal>
            <c:numRef>
              <c:f>'DEA 20% + MDEA 10%'!$C$19:$AE$19</c:f>
              <c:numCache>
                <c:formatCode>General</c:formatCode>
                <c:ptCount val="29"/>
                <c:pt idx="0">
                  <c:v>701.45699999999999</c:v>
                </c:pt>
                <c:pt idx="1">
                  <c:v>844.93899999999996</c:v>
                </c:pt>
                <c:pt idx="2">
                  <c:v>989.12699999999995</c:v>
                </c:pt>
                <c:pt idx="3">
                  <c:v>1133.79</c:v>
                </c:pt>
                <c:pt idx="4">
                  <c:v>1279.01</c:v>
                </c:pt>
                <c:pt idx="5">
                  <c:v>1424.64</c:v>
                </c:pt>
                <c:pt idx="6">
                  <c:v>1717.23</c:v>
                </c:pt>
                <c:pt idx="7">
                  <c:v>2011.24</c:v>
                </c:pt>
                <c:pt idx="8">
                  <c:v>2306.0300000000002</c:v>
                </c:pt>
                <c:pt idx="9">
                  <c:v>2599.1999999999998</c:v>
                </c:pt>
                <c:pt idx="10">
                  <c:v>2881.44</c:v>
                </c:pt>
                <c:pt idx="11">
                  <c:v>3157.52</c:v>
                </c:pt>
                <c:pt idx="12">
                  <c:v>3431.19</c:v>
                </c:pt>
                <c:pt idx="13">
                  <c:v>3703.01</c:v>
                </c:pt>
                <c:pt idx="14">
                  <c:v>3972.63</c:v>
                </c:pt>
                <c:pt idx="15">
                  <c:v>4060.26</c:v>
                </c:pt>
                <c:pt idx="16">
                  <c:v>4503.1099999999997</c:v>
                </c:pt>
                <c:pt idx="17">
                  <c:v>4757.1099999999997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76DD-41CD-BB9C-DB6336B0C5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080952"/>
        <c:axId val="487089184"/>
      </c:scatterChart>
      <c:valAx>
        <c:axId val="487080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L/G, [kg_solvent chimic/kg_gaze de ardere]</a:t>
                </a:r>
                <a:endParaRPr lang="en-US" sz="10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487089184"/>
        <c:crosses val="autoZero"/>
        <c:crossBetween val="midCat"/>
      </c:valAx>
      <c:valAx>
        <c:axId val="487089184"/>
        <c:scaling>
          <c:orientation val="minMax"/>
          <c:min val="4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o-RO"/>
                  <a:t>Consumul</a:t>
                </a:r>
                <a:r>
                  <a:rPr lang="ro-RO" baseline="0"/>
                  <a:t> specific de energie termică, [GJ/tCO2Î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2.5867136978248089E-2"/>
              <c:y val="5.14619883040935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487080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  <c:userShapes r:id="rId3"/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o-R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'MEA 10% + DEA 10% + MDEA 10%'!$C$8:$AE$8</c:f>
              <c:numCache>
                <c:formatCode>General</c:formatCode>
                <c:ptCount val="29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  <c:pt idx="6">
                  <c:v>1.1000000000000001</c:v>
                </c:pt>
                <c:pt idx="7">
                  <c:v>1.2</c:v>
                </c:pt>
                <c:pt idx="8">
                  <c:v>1.3</c:v>
                </c:pt>
                <c:pt idx="9">
                  <c:v>1.4</c:v>
                </c:pt>
                <c:pt idx="10">
                  <c:v>1.5</c:v>
                </c:pt>
                <c:pt idx="11">
                  <c:v>1.6</c:v>
                </c:pt>
                <c:pt idx="12">
                  <c:v>1.7</c:v>
                </c:pt>
                <c:pt idx="13">
                  <c:v>1.8</c:v>
                </c:pt>
                <c:pt idx="14">
                  <c:v>1.9</c:v>
                </c:pt>
                <c:pt idx="15">
                  <c:v>2.0223</c:v>
                </c:pt>
                <c:pt idx="16">
                  <c:v>2.1</c:v>
                </c:pt>
                <c:pt idx="17">
                  <c:v>2.2000000000000002</c:v>
                </c:pt>
              </c:numCache>
            </c:numRef>
          </c:xVal>
          <c:yVal>
            <c:numRef>
              <c:f>'MEA 10% + DEA 10% + MDEA 10%'!$C$12:$AE$12</c:f>
              <c:numCache>
                <c:formatCode>General</c:formatCode>
                <c:ptCount val="29"/>
                <c:pt idx="0">
                  <c:v>25.914076383585062</c:v>
                </c:pt>
                <c:pt idx="1">
                  <c:v>30.826968117693969</c:v>
                </c:pt>
                <c:pt idx="2">
                  <c:v>35.611134258860986</c:v>
                </c:pt>
                <c:pt idx="3">
                  <c:v>40.278942437904398</c:v>
                </c:pt>
                <c:pt idx="4">
                  <c:v>44.833447160419389</c:v>
                </c:pt>
                <c:pt idx="5">
                  <c:v>49.285096082278656</c:v>
                </c:pt>
                <c:pt idx="6">
                  <c:v>53.639399780923384</c:v>
                </c:pt>
                <c:pt idx="7">
                  <c:v>57.907080194361306</c:v>
                </c:pt>
                <c:pt idx="8">
                  <c:v>62.088399137357754</c:v>
                </c:pt>
                <c:pt idx="9">
                  <c:v>66.190949238106569</c:v>
                </c:pt>
                <c:pt idx="10">
                  <c:v>70.21895693496198</c:v>
                </c:pt>
                <c:pt idx="11">
                  <c:v>74.16885656016791</c:v>
                </c:pt>
                <c:pt idx="12">
                  <c:v>78.048776838818597</c:v>
                </c:pt>
                <c:pt idx="13">
                  <c:v>81.851125142720221</c:v>
                </c:pt>
                <c:pt idx="14">
                  <c:v>85.57669938353844</c:v>
                </c:pt>
                <c:pt idx="15">
                  <c:v>90.004119218974139</c:v>
                </c:pt>
                <c:pt idx="16">
                  <c:v>92.725304696283644</c:v>
                </c:pt>
                <c:pt idx="17">
                  <c:v>96.055729392248139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125D-4619-B47D-127A67AF8C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082520"/>
        <c:axId val="487088792"/>
      </c:scatterChart>
      <c:valAx>
        <c:axId val="487082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L/G,</a:t>
                </a:r>
                <a:r>
                  <a:rPr lang="en-US" baseline="0"/>
                  <a:t> [kg_solvent chimic/kg_gaze de ardere]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487088792"/>
        <c:crosses val="autoZero"/>
        <c:crossBetween val="midCat"/>
      </c:valAx>
      <c:valAx>
        <c:axId val="487088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Eficien</a:t>
                </a:r>
                <a:r>
                  <a:rPr lang="ro-RO"/>
                  <a:t>ța</a:t>
                </a:r>
                <a:r>
                  <a:rPr lang="ro-RO" baseline="0"/>
                  <a:t> de captare, [%]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487082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  <c:userShapes r:id="rId3"/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o-R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280314960629922"/>
          <c:y val="5.2256532066508314E-2"/>
          <c:w val="0.76893307086614171"/>
          <c:h val="0.73680139151252177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'MEA 10% + DEA 10% + MDEA 10%'!$C$8:$AE$8</c:f>
              <c:numCache>
                <c:formatCode>General</c:formatCode>
                <c:ptCount val="29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  <c:pt idx="6">
                  <c:v>1.1000000000000001</c:v>
                </c:pt>
                <c:pt idx="7">
                  <c:v>1.2</c:v>
                </c:pt>
                <c:pt idx="8">
                  <c:v>1.3</c:v>
                </c:pt>
                <c:pt idx="9">
                  <c:v>1.4</c:v>
                </c:pt>
                <c:pt idx="10">
                  <c:v>1.5</c:v>
                </c:pt>
                <c:pt idx="11">
                  <c:v>1.6</c:v>
                </c:pt>
                <c:pt idx="12">
                  <c:v>1.7</c:v>
                </c:pt>
                <c:pt idx="13">
                  <c:v>1.8</c:v>
                </c:pt>
                <c:pt idx="14">
                  <c:v>1.9</c:v>
                </c:pt>
                <c:pt idx="15">
                  <c:v>2.0223</c:v>
                </c:pt>
                <c:pt idx="16">
                  <c:v>2.1</c:v>
                </c:pt>
                <c:pt idx="17">
                  <c:v>2.2000000000000002</c:v>
                </c:pt>
              </c:numCache>
            </c:numRef>
          </c:xVal>
          <c:yVal>
            <c:numRef>
              <c:f>'MEA 10% + DEA 10% + MDEA 10%'!$C$16:$AE$16</c:f>
              <c:numCache>
                <c:formatCode>General</c:formatCode>
                <c:ptCount val="29"/>
                <c:pt idx="0">
                  <c:v>0.54573877039670071</c:v>
                </c:pt>
                <c:pt idx="1">
                  <c:v>0.54100819625641672</c:v>
                </c:pt>
                <c:pt idx="2">
                  <c:v>0.53570767377712569</c:v>
                </c:pt>
                <c:pt idx="3">
                  <c:v>0.53017844496248567</c:v>
                </c:pt>
                <c:pt idx="4">
                  <c:v>0.52456347226398659</c:v>
                </c:pt>
                <c:pt idx="5">
                  <c:v>0.51898918923228921</c:v>
                </c:pt>
                <c:pt idx="6">
                  <c:v>0.51349691933532515</c:v>
                </c:pt>
                <c:pt idx="7">
                  <c:v>0.50816073674765028</c:v>
                </c:pt>
                <c:pt idx="8">
                  <c:v>0.5029460454507837</c:v>
                </c:pt>
                <c:pt idx="9">
                  <c:v>0.49788505293228313</c:v>
                </c:pt>
                <c:pt idx="10">
                  <c:v>0.49297575639514779</c:v>
                </c:pt>
                <c:pt idx="11">
                  <c:v>0.48816692308653492</c:v>
                </c:pt>
                <c:pt idx="12">
                  <c:v>0.48349145506366942</c:v>
                </c:pt>
                <c:pt idx="13">
                  <c:v>0.47888254084676835</c:v>
                </c:pt>
                <c:pt idx="14">
                  <c:v>0.47433541224984338</c:v>
                </c:pt>
                <c:pt idx="15">
                  <c:v>0.45388092709472821</c:v>
                </c:pt>
                <c:pt idx="16">
                  <c:v>0.46503223511303871</c:v>
                </c:pt>
                <c:pt idx="17">
                  <c:v>0.45985901261971629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913E-42E4-98C7-375C138D41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082912"/>
        <c:axId val="487089968"/>
      </c:scatterChart>
      <c:valAx>
        <c:axId val="487082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L/G, [kg_solvent chimic/kg_gaze de ardere]</a:t>
                </a:r>
                <a:endParaRPr lang="en-US" sz="10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487089968"/>
        <c:crosses val="autoZero"/>
        <c:crossBetween val="midCat"/>
      </c:valAx>
      <c:valAx>
        <c:axId val="48708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Grad </a:t>
                </a:r>
                <a:r>
                  <a:rPr lang="ro-RO" baseline="0"/>
                  <a:t>încărcare solvent bogat în CO</a:t>
                </a:r>
                <a:r>
                  <a:rPr lang="ro-RO" baseline="-25000"/>
                  <a:t>2</a:t>
                </a:r>
                <a:r>
                  <a:rPr lang="ro-RO" baseline="0"/>
                  <a:t>, [molCO2/molamină]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487082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  <c:userShapes r:id="rId3"/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o-R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823533221684538"/>
          <c:y val="5.0691244239631339E-2"/>
          <c:w val="0.78842751001600708"/>
          <c:h val="0.74468522079901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'MEA 10% + DEA 10% + MDEA 10%'!$C$8:$AE$8</c:f>
              <c:numCache>
                <c:formatCode>General</c:formatCode>
                <c:ptCount val="29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  <c:pt idx="6">
                  <c:v>1.1000000000000001</c:v>
                </c:pt>
                <c:pt idx="7">
                  <c:v>1.2</c:v>
                </c:pt>
                <c:pt idx="8">
                  <c:v>1.3</c:v>
                </c:pt>
                <c:pt idx="9">
                  <c:v>1.4</c:v>
                </c:pt>
                <c:pt idx="10">
                  <c:v>1.5</c:v>
                </c:pt>
                <c:pt idx="11">
                  <c:v>1.6</c:v>
                </c:pt>
                <c:pt idx="12">
                  <c:v>1.7</c:v>
                </c:pt>
                <c:pt idx="13">
                  <c:v>1.8</c:v>
                </c:pt>
                <c:pt idx="14">
                  <c:v>1.9</c:v>
                </c:pt>
                <c:pt idx="15">
                  <c:v>2.0223</c:v>
                </c:pt>
                <c:pt idx="16">
                  <c:v>2.1</c:v>
                </c:pt>
                <c:pt idx="17">
                  <c:v>2.2000000000000002</c:v>
                </c:pt>
              </c:numCache>
            </c:numRef>
          </c:xVal>
          <c:yVal>
            <c:numRef>
              <c:f>'MEA 10% + DEA 10% + MDEA 10%'!$C$19:$AE$19</c:f>
              <c:numCache>
                <c:formatCode>General</c:formatCode>
                <c:ptCount val="29"/>
                <c:pt idx="0">
                  <c:v>771.36500000000001</c:v>
                </c:pt>
                <c:pt idx="1">
                  <c:v>928.42700000000002</c:v>
                </c:pt>
                <c:pt idx="2">
                  <c:v>1085.96</c:v>
                </c:pt>
                <c:pt idx="3">
                  <c:v>1243.97</c:v>
                </c:pt>
                <c:pt idx="4">
                  <c:v>1402.43</c:v>
                </c:pt>
                <c:pt idx="5">
                  <c:v>1561.25</c:v>
                </c:pt>
                <c:pt idx="6">
                  <c:v>1720.47</c:v>
                </c:pt>
                <c:pt idx="7">
                  <c:v>1879.96</c:v>
                </c:pt>
                <c:pt idx="8">
                  <c:v>2039.78</c:v>
                </c:pt>
                <c:pt idx="9">
                  <c:v>2199.7199999999998</c:v>
                </c:pt>
                <c:pt idx="10">
                  <c:v>2359.62</c:v>
                </c:pt>
                <c:pt idx="11">
                  <c:v>2517.7399999999998</c:v>
                </c:pt>
                <c:pt idx="12">
                  <c:v>2673.7</c:v>
                </c:pt>
                <c:pt idx="13">
                  <c:v>2827.76</c:v>
                </c:pt>
                <c:pt idx="14">
                  <c:v>2980.95</c:v>
                </c:pt>
                <c:pt idx="15">
                  <c:v>3167.34</c:v>
                </c:pt>
                <c:pt idx="16">
                  <c:v>3285.07</c:v>
                </c:pt>
                <c:pt idx="17">
                  <c:v>3435.76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76DD-41CD-BB9C-DB6336B0C5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078208"/>
        <c:axId val="487078992"/>
      </c:scatterChart>
      <c:valAx>
        <c:axId val="487078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L/G, [kg_solvent chimic/kg_gaze de ardere]</a:t>
                </a:r>
                <a:endParaRPr lang="en-US" sz="10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487078992"/>
        <c:crosses val="autoZero"/>
        <c:crossBetween val="midCat"/>
      </c:valAx>
      <c:valAx>
        <c:axId val="487078992"/>
        <c:scaling>
          <c:orientation val="minMax"/>
          <c:min val="4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o-RO"/>
                  <a:t>Consumul</a:t>
                </a:r>
                <a:r>
                  <a:rPr lang="ro-RO" baseline="0"/>
                  <a:t> specific de energie termică, [GJ/tCO2Î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2.5867136978248089E-2"/>
              <c:y val="5.14619883040935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487078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  <c:userShapes r:id="rId3"/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o-R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'DGA 30%'!$C$8:$AJ$8</c:f>
              <c:numCache>
                <c:formatCode>General</c:formatCode>
                <c:ptCount val="34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  <c:pt idx="6">
                  <c:v>1.1000000000000001</c:v>
                </c:pt>
                <c:pt idx="7">
                  <c:v>1.2</c:v>
                </c:pt>
                <c:pt idx="8">
                  <c:v>1.2576000000000001</c:v>
                </c:pt>
                <c:pt idx="9">
                  <c:v>1.3</c:v>
                </c:pt>
                <c:pt idx="10">
                  <c:v>1.4</c:v>
                </c:pt>
                <c:pt idx="11">
                  <c:v>1.5</c:v>
                </c:pt>
              </c:numCache>
            </c:numRef>
          </c:xVal>
          <c:yVal>
            <c:numRef>
              <c:f>'DGA 30%'!$C$19:$AJ$19</c:f>
              <c:numCache>
                <c:formatCode>General</c:formatCode>
                <c:ptCount val="34"/>
                <c:pt idx="0">
                  <c:v>824.87800000000004</c:v>
                </c:pt>
                <c:pt idx="1">
                  <c:v>1004.49</c:v>
                </c:pt>
                <c:pt idx="2">
                  <c:v>1184.94</c:v>
                </c:pt>
                <c:pt idx="3">
                  <c:v>1366.24</c:v>
                </c:pt>
                <c:pt idx="4">
                  <c:v>1548.35</c:v>
                </c:pt>
                <c:pt idx="5">
                  <c:v>1731.27</c:v>
                </c:pt>
                <c:pt idx="6">
                  <c:v>1915.06</c:v>
                </c:pt>
                <c:pt idx="7">
                  <c:v>2099.85</c:v>
                </c:pt>
                <c:pt idx="8">
                  <c:v>2206.96</c:v>
                </c:pt>
                <c:pt idx="9">
                  <c:v>2286.3200000000002</c:v>
                </c:pt>
                <c:pt idx="10">
                  <c:v>2480.7800000000002</c:v>
                </c:pt>
                <c:pt idx="11">
                  <c:v>2680.93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76DD-41CD-BB9C-DB6336B0C5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093496"/>
        <c:axId val="487091536"/>
      </c:scatterChart>
      <c:valAx>
        <c:axId val="487093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L/G, [kg_solvent chimic/kg_gaze de ardere]</a:t>
                </a:r>
                <a:endParaRPr lang="en-US" sz="10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487091536"/>
        <c:crosses val="autoZero"/>
        <c:crossBetween val="midCat"/>
      </c:valAx>
      <c:valAx>
        <c:axId val="487091536"/>
        <c:scaling>
          <c:orientation val="minMax"/>
          <c:min val="4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o-RO"/>
                  <a:t>Consumul</a:t>
                </a:r>
                <a:r>
                  <a:rPr lang="ro-RO" baseline="0"/>
                  <a:t> specific de energie termică, [GJ/tCO2Î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2.5867136978248089E-2"/>
              <c:y val="5.14619883040935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487093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  <c:userShapes r:id="rId3"/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o-R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280314960629922"/>
          <c:y val="5.2256532066508314E-2"/>
          <c:w val="0.76893307086614171"/>
          <c:h val="0.73680139151252177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'DGA 30%'!$C$8:$AJ$8</c:f>
              <c:numCache>
                <c:formatCode>General</c:formatCode>
                <c:ptCount val="34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  <c:pt idx="6">
                  <c:v>1.1000000000000001</c:v>
                </c:pt>
                <c:pt idx="7">
                  <c:v>1.2</c:v>
                </c:pt>
                <c:pt idx="8">
                  <c:v>1.2576000000000001</c:v>
                </c:pt>
                <c:pt idx="9">
                  <c:v>1.3</c:v>
                </c:pt>
                <c:pt idx="10">
                  <c:v>1.4</c:v>
                </c:pt>
                <c:pt idx="11">
                  <c:v>1.5</c:v>
                </c:pt>
              </c:numCache>
            </c:numRef>
          </c:xVal>
          <c:yVal>
            <c:numRef>
              <c:f>'DGA 30%'!$C$16:$AJ$16</c:f>
              <c:numCache>
                <c:formatCode>General</c:formatCode>
                <c:ptCount val="34"/>
                <c:pt idx="0">
                  <c:v>0.8995918890764335</c:v>
                </c:pt>
                <c:pt idx="1">
                  <c:v>0.90718897509756025</c:v>
                </c:pt>
                <c:pt idx="2">
                  <c:v>0.91123991700644258</c:v>
                </c:pt>
                <c:pt idx="3">
                  <c:v>0.91301979425081969</c:v>
                </c:pt>
                <c:pt idx="4">
                  <c:v>0.91323667176832068</c:v>
                </c:pt>
                <c:pt idx="5">
                  <c:v>0.91228878541639191</c:v>
                </c:pt>
                <c:pt idx="6">
                  <c:v>0.91037135355487786</c:v>
                </c:pt>
                <c:pt idx="7">
                  <c:v>0.90746931517543472</c:v>
                </c:pt>
                <c:pt idx="8">
                  <c:v>0.90518717899481116</c:v>
                </c:pt>
                <c:pt idx="9">
                  <c:v>0.90299577446444168</c:v>
                </c:pt>
                <c:pt idx="10">
                  <c:v>0.89064298213726123</c:v>
                </c:pt>
                <c:pt idx="11">
                  <c:v>0.84309836648795144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913E-42E4-98C7-375C138D41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092320"/>
        <c:axId val="487093104"/>
      </c:scatterChart>
      <c:valAx>
        <c:axId val="487092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L/G, [kg_solvent chimic/kg_gaze de ardere]</a:t>
                </a:r>
                <a:endParaRPr lang="en-US" sz="10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487093104"/>
        <c:crosses val="autoZero"/>
        <c:crossBetween val="midCat"/>
      </c:valAx>
      <c:valAx>
        <c:axId val="48709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Grad </a:t>
                </a:r>
                <a:r>
                  <a:rPr lang="ro-RO" baseline="0"/>
                  <a:t>încărcare solvent bogat în CO</a:t>
                </a:r>
                <a:r>
                  <a:rPr lang="ro-RO" baseline="-25000"/>
                  <a:t>2</a:t>
                </a:r>
                <a:r>
                  <a:rPr lang="ro-RO" baseline="0"/>
                  <a:t>, [molCO2/molamină]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487092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  <c:userShapes r:id="rId3"/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o-R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'DGA 30%'!$C$8:$AJ$8</c:f>
              <c:numCache>
                <c:formatCode>General</c:formatCode>
                <c:ptCount val="34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  <c:pt idx="6">
                  <c:v>1.1000000000000001</c:v>
                </c:pt>
                <c:pt idx="7">
                  <c:v>1.2</c:v>
                </c:pt>
                <c:pt idx="8">
                  <c:v>1.2576000000000001</c:v>
                </c:pt>
                <c:pt idx="9">
                  <c:v>1.3</c:v>
                </c:pt>
                <c:pt idx="10">
                  <c:v>1.4</c:v>
                </c:pt>
                <c:pt idx="11">
                  <c:v>1.5</c:v>
                </c:pt>
              </c:numCache>
            </c:numRef>
          </c:xVal>
          <c:yVal>
            <c:numRef>
              <c:f>'DGA 30%'!$C$12:$AJ$12</c:f>
              <c:numCache>
                <c:formatCode>General</c:formatCode>
                <c:ptCount val="34"/>
                <c:pt idx="0">
                  <c:v>35.565541087588507</c:v>
                </c:pt>
                <c:pt idx="1">
                  <c:v>43.039006161124796</c:v>
                </c:pt>
                <c:pt idx="2">
                  <c:v>50.436370409545617</c:v>
                </c:pt>
                <c:pt idx="3">
                  <c:v>57.754142969313563</c:v>
                </c:pt>
                <c:pt idx="4">
                  <c:v>64.988695835823691</c:v>
                </c:pt>
                <c:pt idx="5">
                  <c:v>72.134580768483687</c:v>
                </c:pt>
                <c:pt idx="6">
                  <c:v>79.181138166134673</c:v>
                </c:pt>
                <c:pt idx="7">
                  <c:v>86.103757440837953</c:v>
                </c:pt>
                <c:pt idx="8">
                  <c:v>90.009609848623697</c:v>
                </c:pt>
                <c:pt idx="9">
                  <c:v>92.818801242448203</c:v>
                </c:pt>
                <c:pt idx="10">
                  <c:v>98.58925103273458</c:v>
                </c:pt>
                <c:pt idx="11">
                  <c:v>99.992517239255548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125D-4619-B47D-127A67AF8C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093888"/>
        <c:axId val="487090752"/>
      </c:scatterChart>
      <c:valAx>
        <c:axId val="487093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L/G,</a:t>
                </a:r>
                <a:r>
                  <a:rPr lang="en-US" baseline="0"/>
                  <a:t> [kg_solvent chimic/kg_gaze de ardere]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487090752"/>
        <c:crosses val="autoZero"/>
        <c:crossBetween val="midCat"/>
      </c:valAx>
      <c:valAx>
        <c:axId val="48709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Eficien</a:t>
                </a:r>
                <a:r>
                  <a:rPr lang="ro-RO"/>
                  <a:t>ța</a:t>
                </a:r>
                <a:r>
                  <a:rPr lang="ro-RO" baseline="0"/>
                  <a:t> de captare, [%]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487093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o-R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'MEA 10%'!#REF!</c:f>
            </c:numRef>
          </c:xVal>
          <c:yVal>
            <c:numRef>
              <c:f>'MEA 30%'!$E$53:$H$53</c:f>
              <c:numCache>
                <c:formatCode>General</c:formatCode>
                <c:ptCount val="4"/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BCE9-4A75-9742-9DDFF28D63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609992"/>
        <c:axId val="488605680"/>
      </c:scatterChart>
      <c:valAx>
        <c:axId val="488609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488605680"/>
        <c:crosses val="autoZero"/>
        <c:crossBetween val="midCat"/>
      </c:valAx>
      <c:valAx>
        <c:axId val="48860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488609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o-R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821884333423839"/>
          <c:y val="8.5061137692716643E-2"/>
          <c:w val="0.88178115666576162"/>
          <c:h val="0.8181910275569620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'MEA 30%'!$E$24:$E$24</c:f>
              <c:numCache>
                <c:formatCode>0.00</c:formatCode>
                <c:ptCount val="1"/>
                <c:pt idx="0">
                  <c:v>2.9605242857176766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7D9A-4801-BEC6-6B3D6DF12A2A}"/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 xmlns:c16r2="http://schemas.microsoft.com/office/drawing/2015/06/chart" xmlns:c16="http://schemas.microsoft.com/office/drawing/2014/chart">
                      <c:ext uri="{02D57815-91ED-43cb-92C2-25804820EDAC}">
                        <c15:formulaRef>
                          <c15:sqref>'MEA 10%'!#REF!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88615088"/>
        <c:axId val="488604504"/>
      </c:barChart>
      <c:catAx>
        <c:axId val="488615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488604504"/>
        <c:crosses val="autoZero"/>
        <c:auto val="1"/>
        <c:lblAlgn val="ctr"/>
        <c:lblOffset val="100"/>
        <c:noMultiLvlLbl val="0"/>
      </c:catAx>
      <c:valAx>
        <c:axId val="488604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488615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o-R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'MEA 30%'!$C$8:$N$8</c:f>
              <c:numCache>
                <c:formatCode>General</c:formatCode>
                <c:ptCount val="12"/>
                <c:pt idx="0" formatCode="0.0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  <c:pt idx="6">
                  <c:v>1.1000000000000001</c:v>
                </c:pt>
                <c:pt idx="7">
                  <c:v>1.2</c:v>
                </c:pt>
                <c:pt idx="8">
                  <c:v>1.2294</c:v>
                </c:pt>
                <c:pt idx="9">
                  <c:v>1.3</c:v>
                </c:pt>
                <c:pt idx="10">
                  <c:v>1.4</c:v>
                </c:pt>
                <c:pt idx="11">
                  <c:v>1.5</c:v>
                </c:pt>
              </c:numCache>
            </c:numRef>
          </c:xVal>
          <c:yVal>
            <c:numRef>
              <c:f>'MEA 30%'!$C$19:$N$19</c:f>
              <c:numCache>
                <c:formatCode>General</c:formatCode>
                <c:ptCount val="12"/>
                <c:pt idx="0">
                  <c:v>887.19399999999996</c:v>
                </c:pt>
                <c:pt idx="1">
                  <c:v>1066.96</c:v>
                </c:pt>
                <c:pt idx="2">
                  <c:v>1247.26</c:v>
                </c:pt>
                <c:pt idx="3">
                  <c:v>1427.63</c:v>
                </c:pt>
                <c:pt idx="4">
                  <c:v>1608.7</c:v>
                </c:pt>
                <c:pt idx="5">
                  <c:v>1789.68</c:v>
                </c:pt>
                <c:pt idx="6">
                  <c:v>1969.54</c:v>
                </c:pt>
                <c:pt idx="7">
                  <c:v>2147.85</c:v>
                </c:pt>
                <c:pt idx="8">
                  <c:v>2199.9</c:v>
                </c:pt>
                <c:pt idx="9">
                  <c:v>2324.2399999999998</c:v>
                </c:pt>
                <c:pt idx="10">
                  <c:v>2491.12</c:v>
                </c:pt>
                <c:pt idx="11">
                  <c:v>2617.61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76DD-41CD-BB9C-DB6336B0C5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1355416"/>
        <c:axId val="461356592"/>
      </c:scatterChart>
      <c:valAx>
        <c:axId val="461355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L/G, [kg_solvent chimic/kg_gaze de ardere]</a:t>
                </a:r>
                <a:endParaRPr lang="en-US" sz="10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461356592"/>
        <c:crosses val="autoZero"/>
        <c:crossBetween val="midCat"/>
      </c:valAx>
      <c:valAx>
        <c:axId val="461356592"/>
        <c:scaling>
          <c:orientation val="minMax"/>
          <c:min val="4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o-RO"/>
                  <a:t>Consumul</a:t>
                </a:r>
                <a:r>
                  <a:rPr lang="ro-RO" baseline="0"/>
                  <a:t> specific de energie termică, [GJ/tCO2Î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461355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  <c:userShapes r:id="rId3"/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o-R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'MEA 10%'!#REF!</c:f>
            </c:numRef>
          </c:xVal>
          <c:yVal>
            <c:numRef>
              <c:f>'MEA 30%'!$F$82:$K$82</c:f>
              <c:numCache>
                <c:formatCode>General</c:formatCode>
                <c:ptCount val="6"/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AD36-4BF9-A740-670E5718AE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606856"/>
        <c:axId val="488612736"/>
      </c:scatterChart>
      <c:valAx>
        <c:axId val="488606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488612736"/>
        <c:crosses val="autoZero"/>
        <c:crossBetween val="midCat"/>
      </c:valAx>
      <c:valAx>
        <c:axId val="48861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488606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o-R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'MEA 30%'!$F$71:$K$71</c:f>
              <c:numCache>
                <c:formatCode>General</c:formatCode>
                <c:ptCount val="6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56-4B41-A29C-A7303CC06EE8}"/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 xmlns:c16r2="http://schemas.microsoft.com/office/drawing/2015/06/chart" xmlns:c16="http://schemas.microsoft.com/office/drawing/2014/chart">
                      <c:ext uri="{02D57815-91ED-43cb-92C2-25804820EDAC}">
                        <c15:formulaRef>
                          <c15:sqref>'MEA 10%'!#REF!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8615480"/>
        <c:axId val="488613912"/>
      </c:barChart>
      <c:catAx>
        <c:axId val="488615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488613912"/>
        <c:crosses val="autoZero"/>
        <c:auto val="1"/>
        <c:lblAlgn val="ctr"/>
        <c:lblOffset val="100"/>
        <c:noMultiLvlLbl val="0"/>
      </c:catAx>
      <c:valAx>
        <c:axId val="488613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488615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o-R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'MEA 30%'!$J$49:$O$49</c:f>
              <c:numCache>
                <c:formatCode>General</c:formatCode>
                <c:ptCount val="6"/>
              </c:numCache>
            </c:numRef>
          </c:xVal>
          <c:yVal>
            <c:numRef>
              <c:f>'MEA 30%'!$J$52:$O$52</c:f>
              <c:numCache>
                <c:formatCode>General</c:formatCode>
                <c:ptCount val="6"/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B550-4002-A60B-33D3B9381E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607640"/>
        <c:axId val="488613128"/>
      </c:scatterChart>
      <c:valAx>
        <c:axId val="488607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488613128"/>
        <c:crosses val="autoZero"/>
        <c:crossBetween val="midCat"/>
      </c:valAx>
      <c:valAx>
        <c:axId val="488613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488607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o-R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566426071741033"/>
          <c:y val="0.13425925925925927"/>
          <c:w val="0.81684973753280843"/>
          <c:h val="0.78148950131233597"/>
        </c:manualLayout>
      </c:layout>
      <c:scatterChart>
        <c:scatterStyle val="smoothMarker"/>
        <c:varyColors val="0"/>
        <c:ser>
          <c:idx val="0"/>
          <c:order val="0"/>
          <c:tx>
            <c:v>MEA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'MEA 30%'!$M$78:$R$78</c:f>
              <c:numCache>
                <c:formatCode>General</c:formatCode>
                <c:ptCount val="6"/>
              </c:numCache>
            </c:numRef>
          </c:xVal>
          <c:yVal>
            <c:numRef>
              <c:f>'MEA 30%'!$G$24:$L$24</c:f>
              <c:numCache>
                <c:formatCode>0.00</c:formatCode>
                <c:ptCount val="6"/>
                <c:pt idx="0">
                  <c:v>2.9946451195680059</c:v>
                </c:pt>
                <c:pt idx="1">
                  <c:v>3.0120206160027143</c:v>
                </c:pt>
                <c:pt idx="2">
                  <c:v>3.027980151489714</c:v>
                </c:pt>
                <c:pt idx="3">
                  <c:v>3.0429666293022448</c:v>
                </c:pt>
                <c:pt idx="4" formatCode="0.0000">
                  <c:v>3.0473568310924315</c:v>
                </c:pt>
                <c:pt idx="5">
                  <c:v>3.059030426971018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4007-4EA1-A8F1-17642F75599A}"/>
            </c:ext>
          </c:extLst>
        </c:ser>
        <c:ser>
          <c:idx val="1"/>
          <c:order val="1"/>
          <c:tx>
            <c:v>MDEA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'MEA 30%'!$G$18:$L$18</c:f>
              <c:numCache>
                <c:formatCode>General</c:formatCode>
                <c:ptCount val="6"/>
                <c:pt idx="0">
                  <c:v>0.21000001556822465</c:v>
                </c:pt>
                <c:pt idx="1">
                  <c:v>0.21000002017988348</c:v>
                </c:pt>
                <c:pt idx="2">
                  <c:v>0.2100000293583153</c:v>
                </c:pt>
                <c:pt idx="3">
                  <c:v>0.21000002018928121</c:v>
                </c:pt>
                <c:pt idx="4">
                  <c:v>0.21000000985507455</c:v>
                </c:pt>
                <c:pt idx="5">
                  <c:v>0.20999997513990021</c:v>
                </c:pt>
              </c:numCache>
            </c:numRef>
          </c:xVal>
          <c:yVal>
            <c:numRef>
              <c:f>'MEA 30%'!$M$81:$R$81</c:f>
              <c:numCache>
                <c:formatCode>General</c:formatCode>
                <c:ptCount val="6"/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4007-4EA1-A8F1-17642F75599A}"/>
            </c:ext>
          </c:extLst>
        </c:ser>
        <c:ser>
          <c:idx val="2"/>
          <c:order val="2"/>
          <c:tx>
            <c:v>DEA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'MEA 30%'!$M$78:$R$78</c:f>
              <c:numCache>
                <c:formatCode>General</c:formatCode>
                <c:ptCount val="6"/>
              </c:numCache>
            </c:numRef>
          </c:xVal>
          <c:yVal>
            <c:numRef>
              <c:f>'MEA 30%'!$J$52:$O$52</c:f>
              <c:numCache>
                <c:formatCode>General</c:formatCode>
                <c:ptCount val="6"/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4007-4EA1-A8F1-17642F7559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614304"/>
        <c:axId val="488616264"/>
      </c:scatterChart>
      <c:valAx>
        <c:axId val="488614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488616264"/>
        <c:crosses val="autoZero"/>
        <c:crossBetween val="midCat"/>
      </c:valAx>
      <c:valAx>
        <c:axId val="488616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488614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o-R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'MEA 30%'!$C$8:$N$8</c:f>
              <c:numCache>
                <c:formatCode>General</c:formatCode>
                <c:ptCount val="12"/>
                <c:pt idx="0" formatCode="0.0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  <c:pt idx="6">
                  <c:v>1.1000000000000001</c:v>
                </c:pt>
                <c:pt idx="7">
                  <c:v>1.2</c:v>
                </c:pt>
                <c:pt idx="8">
                  <c:v>1.2294</c:v>
                </c:pt>
                <c:pt idx="9">
                  <c:v>1.3</c:v>
                </c:pt>
                <c:pt idx="10">
                  <c:v>1.4</c:v>
                </c:pt>
                <c:pt idx="11">
                  <c:v>1.5</c:v>
                </c:pt>
              </c:numCache>
            </c:numRef>
          </c:xVal>
          <c:yVal>
            <c:numRef>
              <c:f>'MEA 30%'!$C$12:$N$12</c:f>
              <c:numCache>
                <c:formatCode>0.00</c:formatCode>
                <c:ptCount val="12"/>
                <c:pt idx="0" formatCode="0.0">
                  <c:v>37.776304965828182</c:v>
                </c:pt>
                <c:pt idx="1">
                  <c:v>45.186822289363164</c:v>
                </c:pt>
                <c:pt idx="2">
                  <c:v>52.524654847101417</c:v>
                </c:pt>
                <c:pt idx="3">
                  <c:v>59.785638537537636</c:v>
                </c:pt>
                <c:pt idx="4">
                  <c:v>66.973713049521137</c:v>
                </c:pt>
                <c:pt idx="5">
                  <c:v>74.078517998767737</c:v>
                </c:pt>
                <c:pt idx="6">
                  <c:v>81.093607755102951</c:v>
                </c:pt>
                <c:pt idx="7">
                  <c:v>87.99974142675083</c:v>
                </c:pt>
                <c:pt idx="8">
                  <c:v>90.002476019637598</c:v>
                </c:pt>
                <c:pt idx="9">
                  <c:v>94.726615515541951</c:v>
                </c:pt>
                <c:pt idx="10">
                  <c:v>99.992526134723903</c:v>
                </c:pt>
                <c:pt idx="11">
                  <c:v>99.999999999220563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125D-4619-B47D-127A67AF8C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608032"/>
        <c:axId val="488611168"/>
      </c:scatterChart>
      <c:valAx>
        <c:axId val="488608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L/G,</a:t>
                </a:r>
                <a:r>
                  <a:rPr lang="en-US" baseline="0"/>
                  <a:t> [kg_solvent chimic/kg_gaze de ardere]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488611168"/>
        <c:crosses val="autoZero"/>
        <c:crossBetween val="midCat"/>
      </c:valAx>
      <c:valAx>
        <c:axId val="48861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Eficien</a:t>
                </a:r>
                <a:r>
                  <a:rPr lang="ro-RO"/>
                  <a:t>ța</a:t>
                </a:r>
                <a:r>
                  <a:rPr lang="ro-RO" baseline="0"/>
                  <a:t> de captare, [%]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488608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o-R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'MEA 30%'!$C$8:$N$8</c:f>
              <c:numCache>
                <c:formatCode>General</c:formatCode>
                <c:ptCount val="12"/>
                <c:pt idx="0" formatCode="0.0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  <c:pt idx="6">
                  <c:v>1.1000000000000001</c:v>
                </c:pt>
                <c:pt idx="7">
                  <c:v>1.2</c:v>
                </c:pt>
                <c:pt idx="8">
                  <c:v>1.2294</c:v>
                </c:pt>
                <c:pt idx="9">
                  <c:v>1.3</c:v>
                </c:pt>
                <c:pt idx="10">
                  <c:v>1.4</c:v>
                </c:pt>
                <c:pt idx="11">
                  <c:v>1.5</c:v>
                </c:pt>
              </c:numCache>
            </c:numRef>
          </c:xVal>
          <c:yVal>
            <c:numRef>
              <c:f>'MEA 30%'!$C$19:$N$19</c:f>
              <c:numCache>
                <c:formatCode>General</c:formatCode>
                <c:ptCount val="12"/>
                <c:pt idx="0">
                  <c:v>887.19399999999996</c:v>
                </c:pt>
                <c:pt idx="1">
                  <c:v>1066.96</c:v>
                </c:pt>
                <c:pt idx="2">
                  <c:v>1247.26</c:v>
                </c:pt>
                <c:pt idx="3">
                  <c:v>1427.63</c:v>
                </c:pt>
                <c:pt idx="4">
                  <c:v>1608.7</c:v>
                </c:pt>
                <c:pt idx="5">
                  <c:v>1789.68</c:v>
                </c:pt>
                <c:pt idx="6">
                  <c:v>1969.54</c:v>
                </c:pt>
                <c:pt idx="7">
                  <c:v>2147.85</c:v>
                </c:pt>
                <c:pt idx="8">
                  <c:v>2199.9</c:v>
                </c:pt>
                <c:pt idx="9">
                  <c:v>2324.2399999999998</c:v>
                </c:pt>
                <c:pt idx="10">
                  <c:v>2491.12</c:v>
                </c:pt>
                <c:pt idx="11">
                  <c:v>2617.61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76DD-41CD-BB9C-DB6336B0C5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608816"/>
        <c:axId val="488604112"/>
      </c:scatterChart>
      <c:valAx>
        <c:axId val="488608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L/G, [kg_solvent chimic/kg_gaze de ardere]</a:t>
                </a:r>
                <a:endParaRPr lang="en-US" sz="10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488604112"/>
        <c:crosses val="autoZero"/>
        <c:crossBetween val="midCat"/>
      </c:valAx>
      <c:valAx>
        <c:axId val="488604112"/>
        <c:scaling>
          <c:orientation val="minMax"/>
          <c:min val="4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o-RO"/>
                  <a:t>Consumul</a:t>
                </a:r>
                <a:r>
                  <a:rPr lang="ro-RO" baseline="0"/>
                  <a:t> specific de energie termică, [GJ/tCO2Î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488608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  <c:userShapes r:id="rId3"/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o-R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280314960629922"/>
          <c:y val="5.2256532066508314E-2"/>
          <c:w val="0.76893307086614171"/>
          <c:h val="0.73680139151252177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'MEA 30%'!$C$8:$N$8</c:f>
              <c:numCache>
                <c:formatCode>General</c:formatCode>
                <c:ptCount val="12"/>
                <c:pt idx="0" formatCode="0.0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  <c:pt idx="6">
                  <c:v>1.1000000000000001</c:v>
                </c:pt>
                <c:pt idx="7">
                  <c:v>1.2</c:v>
                </c:pt>
                <c:pt idx="8">
                  <c:v>1.2294</c:v>
                </c:pt>
                <c:pt idx="9">
                  <c:v>1.3</c:v>
                </c:pt>
                <c:pt idx="10">
                  <c:v>1.4</c:v>
                </c:pt>
                <c:pt idx="11">
                  <c:v>1.5</c:v>
                </c:pt>
              </c:numCache>
            </c:numRef>
          </c:xVal>
          <c:yVal>
            <c:numRef>
              <c:f>'MEA 30%'!$C$16:$N$16</c:f>
              <c:numCache>
                <c:formatCode>0.000</c:formatCode>
                <c:ptCount val="12"/>
                <c:pt idx="0" formatCode="0.00">
                  <c:v>0.55537394881723035</c:v>
                </c:pt>
                <c:pt idx="1">
                  <c:v>0.55365702618886614</c:v>
                </c:pt>
                <c:pt idx="2" formatCode="General">
                  <c:v>0.5516878005907262</c:v>
                </c:pt>
                <c:pt idx="3" formatCode="General">
                  <c:v>0.54952568000347557</c:v>
                </c:pt>
                <c:pt idx="4" formatCode="General">
                  <c:v>0.54726985461211941</c:v>
                </c:pt>
                <c:pt idx="5" formatCode="General">
                  <c:v>0.54487837201108058</c:v>
                </c:pt>
                <c:pt idx="6" formatCode="General">
                  <c:v>0.54235835198438775</c:v>
                </c:pt>
                <c:pt idx="7" formatCode="General">
                  <c:v>0.53964666835592356</c:v>
                </c:pt>
                <c:pt idx="8" formatCode="General">
                  <c:v>0.53878643417106487</c:v>
                </c:pt>
                <c:pt idx="9" formatCode="General">
                  <c:v>0.53646720884589905</c:v>
                </c:pt>
                <c:pt idx="10" formatCode="General">
                  <c:v>0.52693593055418209</c:v>
                </c:pt>
                <c:pt idx="11" formatCode="General">
                  <c:v>0.49131245273965118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913E-42E4-98C7-375C138D41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604896"/>
        <c:axId val="488606464"/>
      </c:scatterChart>
      <c:valAx>
        <c:axId val="488604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L/G, [kg_solvent chimic/kg_gaze de ardere]</a:t>
                </a:r>
                <a:endParaRPr lang="en-US" sz="10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488606464"/>
        <c:crosses val="autoZero"/>
        <c:crossBetween val="midCat"/>
      </c:valAx>
      <c:valAx>
        <c:axId val="48860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Grad </a:t>
                </a:r>
                <a:r>
                  <a:rPr lang="ro-RO" baseline="0"/>
                  <a:t>încărcare solvent bogat în CO</a:t>
                </a:r>
                <a:r>
                  <a:rPr lang="ro-RO" baseline="-25000"/>
                  <a:t>2</a:t>
                </a:r>
                <a:r>
                  <a:rPr lang="ro-RO" baseline="0"/>
                  <a:t>, [molCO2/molamină]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488604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  <c:userShapes r:id="rId3"/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o-R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'DEA 30%'!$C$8:$AL$8</c:f>
              <c:numCache>
                <c:formatCode>General</c:formatCode>
                <c:ptCount val="36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  <c:pt idx="6">
                  <c:v>1.1000000000000001</c:v>
                </c:pt>
                <c:pt idx="7">
                  <c:v>1.2</c:v>
                </c:pt>
                <c:pt idx="8">
                  <c:v>1.3</c:v>
                </c:pt>
                <c:pt idx="9">
                  <c:v>1.4</c:v>
                </c:pt>
                <c:pt idx="10">
                  <c:v>1.5</c:v>
                </c:pt>
                <c:pt idx="11">
                  <c:v>1.6</c:v>
                </c:pt>
                <c:pt idx="12">
                  <c:v>1.7</c:v>
                </c:pt>
                <c:pt idx="13">
                  <c:v>1.8</c:v>
                </c:pt>
                <c:pt idx="14">
                  <c:v>1.9</c:v>
                </c:pt>
                <c:pt idx="15">
                  <c:v>2</c:v>
                </c:pt>
                <c:pt idx="16">
                  <c:v>2.1</c:v>
                </c:pt>
                <c:pt idx="17">
                  <c:v>2.2000000000000002</c:v>
                </c:pt>
                <c:pt idx="18">
                  <c:v>2.2999999999999998</c:v>
                </c:pt>
                <c:pt idx="19">
                  <c:v>2.3580000000000001</c:v>
                </c:pt>
                <c:pt idx="20">
                  <c:v>2.5</c:v>
                </c:pt>
                <c:pt idx="21">
                  <c:v>2.6</c:v>
                </c:pt>
                <c:pt idx="22">
                  <c:v>2.7</c:v>
                </c:pt>
                <c:pt idx="23">
                  <c:v>2.8</c:v>
                </c:pt>
                <c:pt idx="24">
                  <c:v>2.9</c:v>
                </c:pt>
              </c:numCache>
            </c:numRef>
          </c:xVal>
          <c:yVal>
            <c:numRef>
              <c:f>'DEA 30%'!$C$19:$AL$19</c:f>
              <c:numCache>
                <c:formatCode>General</c:formatCode>
                <c:ptCount val="36"/>
                <c:pt idx="0">
                  <c:v>594.48400000000004</c:v>
                </c:pt>
                <c:pt idx="1">
                  <c:v>716.21699999999998</c:v>
                </c:pt>
                <c:pt idx="2">
                  <c:v>838.41399999999999</c:v>
                </c:pt>
                <c:pt idx="3">
                  <c:v>961.19799999999998</c:v>
                </c:pt>
                <c:pt idx="4">
                  <c:v>1084.44</c:v>
                </c:pt>
                <c:pt idx="5">
                  <c:v>1208.1600000000001</c:v>
                </c:pt>
                <c:pt idx="6">
                  <c:v>1332.27</c:v>
                </c:pt>
                <c:pt idx="7">
                  <c:v>1456.84</c:v>
                </c:pt>
                <c:pt idx="8">
                  <c:v>1581.75</c:v>
                </c:pt>
                <c:pt idx="9">
                  <c:v>1706.95</c:v>
                </c:pt>
                <c:pt idx="10">
                  <c:v>1832.35</c:v>
                </c:pt>
                <c:pt idx="11">
                  <c:v>1957.91</c:v>
                </c:pt>
                <c:pt idx="12">
                  <c:v>2082.87</c:v>
                </c:pt>
                <c:pt idx="13">
                  <c:v>2204.6999999999998</c:v>
                </c:pt>
                <c:pt idx="14">
                  <c:v>2322.8000000000002</c:v>
                </c:pt>
                <c:pt idx="15">
                  <c:v>2438.31</c:v>
                </c:pt>
                <c:pt idx="16">
                  <c:v>2552.58</c:v>
                </c:pt>
                <c:pt idx="17">
                  <c:v>2665.72</c:v>
                </c:pt>
                <c:pt idx="18">
                  <c:v>2777.8</c:v>
                </c:pt>
                <c:pt idx="19">
                  <c:v>2842.2</c:v>
                </c:pt>
                <c:pt idx="20">
                  <c:v>2997.84</c:v>
                </c:pt>
                <c:pt idx="21">
                  <c:v>3105.02</c:v>
                </c:pt>
                <c:pt idx="22">
                  <c:v>3208.5</c:v>
                </c:pt>
                <c:pt idx="23">
                  <c:v>3305.04</c:v>
                </c:pt>
                <c:pt idx="24">
                  <c:v>3390.79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76DD-41CD-BB9C-DB6336B0C5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610384"/>
        <c:axId val="488610776"/>
      </c:scatterChart>
      <c:valAx>
        <c:axId val="488610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L/G, [kg_solvent chimic/kg_gaze de ardere]</a:t>
                </a:r>
                <a:endParaRPr lang="en-US" sz="10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488610776"/>
        <c:crosses val="autoZero"/>
        <c:crossBetween val="midCat"/>
      </c:valAx>
      <c:valAx>
        <c:axId val="488610776"/>
        <c:scaling>
          <c:orientation val="minMax"/>
          <c:min val="4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o-RO"/>
                  <a:t>Consumul</a:t>
                </a:r>
                <a:r>
                  <a:rPr lang="ro-RO" baseline="0"/>
                  <a:t> specific de energie termică, [GJ/tCO2Î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2.5867136978248089E-2"/>
              <c:y val="5.14619883040935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488610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  <c:userShapes r:id="rId3"/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o-R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280314960629922"/>
          <c:y val="5.2256532066508314E-2"/>
          <c:w val="0.76893307086614171"/>
          <c:h val="0.73680139151252177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'DEA 30%'!$C$8:$AL$8</c:f>
              <c:numCache>
                <c:formatCode>General</c:formatCode>
                <c:ptCount val="36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  <c:pt idx="6">
                  <c:v>1.1000000000000001</c:v>
                </c:pt>
                <c:pt idx="7">
                  <c:v>1.2</c:v>
                </c:pt>
                <c:pt idx="8">
                  <c:v>1.3</c:v>
                </c:pt>
                <c:pt idx="9">
                  <c:v>1.4</c:v>
                </c:pt>
                <c:pt idx="10">
                  <c:v>1.5</c:v>
                </c:pt>
                <c:pt idx="11">
                  <c:v>1.6</c:v>
                </c:pt>
                <c:pt idx="12">
                  <c:v>1.7</c:v>
                </c:pt>
                <c:pt idx="13">
                  <c:v>1.8</c:v>
                </c:pt>
                <c:pt idx="14">
                  <c:v>1.9</c:v>
                </c:pt>
                <c:pt idx="15">
                  <c:v>2</c:v>
                </c:pt>
                <c:pt idx="16">
                  <c:v>2.1</c:v>
                </c:pt>
                <c:pt idx="17">
                  <c:v>2.2000000000000002</c:v>
                </c:pt>
                <c:pt idx="18">
                  <c:v>2.2999999999999998</c:v>
                </c:pt>
                <c:pt idx="19">
                  <c:v>2.3580000000000001</c:v>
                </c:pt>
                <c:pt idx="20">
                  <c:v>2.5</c:v>
                </c:pt>
                <c:pt idx="21">
                  <c:v>2.6</c:v>
                </c:pt>
                <c:pt idx="22">
                  <c:v>2.7</c:v>
                </c:pt>
                <c:pt idx="23">
                  <c:v>2.8</c:v>
                </c:pt>
                <c:pt idx="24">
                  <c:v>2.9</c:v>
                </c:pt>
              </c:numCache>
            </c:numRef>
          </c:xVal>
          <c:yVal>
            <c:numRef>
              <c:f>'DEA 30%'!$C$16:$AL$16</c:f>
              <c:numCache>
                <c:formatCode>General</c:formatCode>
                <c:ptCount val="36"/>
                <c:pt idx="0">
                  <c:v>0.59234379770727508</c:v>
                </c:pt>
                <c:pt idx="1">
                  <c:v>0.58712928117907881</c:v>
                </c:pt>
                <c:pt idx="2">
                  <c:v>0.58127267644504721</c:v>
                </c:pt>
                <c:pt idx="3">
                  <c:v>0.57504204749393473</c:v>
                </c:pt>
                <c:pt idx="4">
                  <c:v>0.56866390998719329</c:v>
                </c:pt>
                <c:pt idx="5">
                  <c:v>0.56222670651643658</c:v>
                </c:pt>
                <c:pt idx="6">
                  <c:v>0.55579603907680231</c:v>
                </c:pt>
                <c:pt idx="7">
                  <c:v>0.54945153886588338</c:v>
                </c:pt>
                <c:pt idx="8">
                  <c:v>0.54320938229455418</c:v>
                </c:pt>
                <c:pt idx="9">
                  <c:v>0.53710342803923061</c:v>
                </c:pt>
                <c:pt idx="10">
                  <c:v>0.53109941821304063</c:v>
                </c:pt>
                <c:pt idx="11">
                  <c:v>0.52520509826848316</c:v>
                </c:pt>
                <c:pt idx="12">
                  <c:v>0.51944378226751875</c:v>
                </c:pt>
                <c:pt idx="13">
                  <c:v>0.51375533503293636</c:v>
                </c:pt>
                <c:pt idx="14">
                  <c:v>0.50817152085830553</c:v>
                </c:pt>
                <c:pt idx="15">
                  <c:v>0.502616792857009</c:v>
                </c:pt>
                <c:pt idx="16">
                  <c:v>0.49711938263090988</c:v>
                </c:pt>
                <c:pt idx="17">
                  <c:v>0.49160539621558363</c:v>
                </c:pt>
                <c:pt idx="18">
                  <c:v>0.48602992266954942</c:v>
                </c:pt>
                <c:pt idx="19">
                  <c:v>0.48272616808595736</c:v>
                </c:pt>
                <c:pt idx="20">
                  <c:v>0.47429283435830766</c:v>
                </c:pt>
                <c:pt idx="21">
                  <c:v>0.46772392441550126</c:v>
                </c:pt>
                <c:pt idx="22">
                  <c:v>0.460012536922625</c:v>
                </c:pt>
                <c:pt idx="23">
                  <c:v>0.4497912771597436</c:v>
                </c:pt>
                <c:pt idx="24">
                  <c:v>0.43600586247121109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913E-42E4-98C7-375C138D41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611560"/>
        <c:axId val="488611952"/>
      </c:scatterChart>
      <c:valAx>
        <c:axId val="488611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L/G, [kg_solvent chimic/kg_gaze de ardere]</a:t>
                </a:r>
                <a:endParaRPr lang="en-US" sz="10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488611952"/>
        <c:crosses val="autoZero"/>
        <c:crossBetween val="midCat"/>
      </c:valAx>
      <c:valAx>
        <c:axId val="48861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Grad </a:t>
                </a:r>
                <a:r>
                  <a:rPr lang="ro-RO" baseline="0"/>
                  <a:t>încărcare solvent bogat în CO</a:t>
                </a:r>
                <a:r>
                  <a:rPr lang="ro-RO" baseline="-25000"/>
                  <a:t>2</a:t>
                </a:r>
                <a:r>
                  <a:rPr lang="ro-RO" baseline="0"/>
                  <a:t>, [molCO2/molamină]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488611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  <c:userShapes r:id="rId3"/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o-R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'DEA 30%'!$C$8:$AL$8</c:f>
              <c:numCache>
                <c:formatCode>General</c:formatCode>
                <c:ptCount val="36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  <c:pt idx="6">
                  <c:v>1.1000000000000001</c:v>
                </c:pt>
                <c:pt idx="7">
                  <c:v>1.2</c:v>
                </c:pt>
                <c:pt idx="8">
                  <c:v>1.3</c:v>
                </c:pt>
                <c:pt idx="9">
                  <c:v>1.4</c:v>
                </c:pt>
                <c:pt idx="10">
                  <c:v>1.5</c:v>
                </c:pt>
                <c:pt idx="11">
                  <c:v>1.6</c:v>
                </c:pt>
                <c:pt idx="12">
                  <c:v>1.7</c:v>
                </c:pt>
                <c:pt idx="13">
                  <c:v>1.8</c:v>
                </c:pt>
                <c:pt idx="14">
                  <c:v>1.9</c:v>
                </c:pt>
                <c:pt idx="15">
                  <c:v>2</c:v>
                </c:pt>
                <c:pt idx="16">
                  <c:v>2.1</c:v>
                </c:pt>
                <c:pt idx="17">
                  <c:v>2.2000000000000002</c:v>
                </c:pt>
                <c:pt idx="18">
                  <c:v>2.2999999999999998</c:v>
                </c:pt>
                <c:pt idx="19">
                  <c:v>2.3580000000000001</c:v>
                </c:pt>
                <c:pt idx="20">
                  <c:v>2.5</c:v>
                </c:pt>
                <c:pt idx="21">
                  <c:v>2.6</c:v>
                </c:pt>
                <c:pt idx="22">
                  <c:v>2.7</c:v>
                </c:pt>
                <c:pt idx="23">
                  <c:v>2.8</c:v>
                </c:pt>
                <c:pt idx="24">
                  <c:v>2.9</c:v>
                </c:pt>
              </c:numCache>
            </c:numRef>
          </c:xVal>
          <c:yVal>
            <c:numRef>
              <c:f>'DEA 30%'!$C$12:$AL$12</c:f>
              <c:numCache>
                <c:formatCode>0.00</c:formatCode>
                <c:ptCount val="36"/>
                <c:pt idx="0">
                  <c:v>23.418445573323218</c:v>
                </c:pt>
                <c:pt idx="1">
                  <c:v>27.854747162987671</c:v>
                </c:pt>
                <c:pt idx="2">
                  <c:v>32.173045097717996</c:v>
                </c:pt>
                <c:pt idx="3">
                  <c:v>36.375047407173575</c:v>
                </c:pt>
                <c:pt idx="4">
                  <c:v>40.468022567934078</c:v>
                </c:pt>
                <c:pt idx="5">
                  <c:v>44.455498845646233</c:v>
                </c:pt>
                <c:pt idx="6">
                  <c:v>48.341690211294491</c:v>
                </c:pt>
                <c:pt idx="7">
                  <c:v>52.134376303619348</c:v>
                </c:pt>
                <c:pt idx="8">
                  <c:v>55.837247464074643</c:v>
                </c:pt>
                <c:pt idx="9">
                  <c:v>59.456512442809064</c:v>
                </c:pt>
                <c:pt idx="10">
                  <c:v>62.991286056568441</c:v>
                </c:pt>
                <c:pt idx="11">
                  <c:v>66.445034234150668</c:v>
                </c:pt>
                <c:pt idx="12">
                  <c:v>69.823429628804007</c:v>
                </c:pt>
                <c:pt idx="13">
                  <c:v>73.12102399993617</c:v>
                </c:pt>
                <c:pt idx="14">
                  <c:v>76.344425053528653</c:v>
                </c:pt>
                <c:pt idx="15">
                  <c:v>79.484132653811812</c:v>
                </c:pt>
                <c:pt idx="16">
                  <c:v>82.545495302419752</c:v>
                </c:pt>
                <c:pt idx="17">
                  <c:v>85.517055486527894</c:v>
                </c:pt>
                <c:pt idx="18">
                  <c:v>88.390208227516524</c:v>
                </c:pt>
                <c:pt idx="19">
                  <c:v>90.003217828139299</c:v>
                </c:pt>
                <c:pt idx="20">
                  <c:v>93.756146724984035</c:v>
                </c:pt>
                <c:pt idx="21">
                  <c:v>96.155979512620604</c:v>
                </c:pt>
                <c:pt idx="22">
                  <c:v>98.207948995491563</c:v>
                </c:pt>
                <c:pt idx="23">
                  <c:v>99.582360691480218</c:v>
                </c:pt>
                <c:pt idx="24">
                  <c:v>99.977869383855094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125D-4619-B47D-127A67AF8C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616656"/>
        <c:axId val="488621752"/>
      </c:scatterChart>
      <c:valAx>
        <c:axId val="488616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L/G,</a:t>
                </a:r>
                <a:r>
                  <a:rPr lang="en-US" baseline="0"/>
                  <a:t> [kg_solvent chimic/kg_gaze de ardere]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488621752"/>
        <c:crosses val="autoZero"/>
        <c:crossBetween val="midCat"/>
      </c:valAx>
      <c:valAx>
        <c:axId val="488621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Eficien</a:t>
                </a:r>
                <a:r>
                  <a:rPr lang="ro-RO"/>
                  <a:t>ța</a:t>
                </a:r>
                <a:r>
                  <a:rPr lang="ro-RO" baseline="0"/>
                  <a:t> de captare, [%]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488616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o-R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280314960629922"/>
          <c:y val="5.2256532066508314E-2"/>
          <c:w val="0.76893307086614171"/>
          <c:h val="0.73680139151252177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'DEA 30%'!$C$8:$AL$8</c:f>
              <c:numCache>
                <c:formatCode>General</c:formatCode>
                <c:ptCount val="36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  <c:pt idx="6">
                  <c:v>1.1000000000000001</c:v>
                </c:pt>
                <c:pt idx="7">
                  <c:v>1.2</c:v>
                </c:pt>
                <c:pt idx="8">
                  <c:v>1.3</c:v>
                </c:pt>
                <c:pt idx="9">
                  <c:v>1.4</c:v>
                </c:pt>
                <c:pt idx="10">
                  <c:v>1.5</c:v>
                </c:pt>
                <c:pt idx="11">
                  <c:v>1.6</c:v>
                </c:pt>
                <c:pt idx="12">
                  <c:v>1.7</c:v>
                </c:pt>
                <c:pt idx="13">
                  <c:v>1.8</c:v>
                </c:pt>
                <c:pt idx="14">
                  <c:v>1.9</c:v>
                </c:pt>
                <c:pt idx="15">
                  <c:v>2</c:v>
                </c:pt>
                <c:pt idx="16">
                  <c:v>2.1</c:v>
                </c:pt>
                <c:pt idx="17">
                  <c:v>2.2000000000000002</c:v>
                </c:pt>
                <c:pt idx="18">
                  <c:v>2.2999999999999998</c:v>
                </c:pt>
                <c:pt idx="19">
                  <c:v>2.3580000000000001</c:v>
                </c:pt>
                <c:pt idx="20">
                  <c:v>2.5</c:v>
                </c:pt>
                <c:pt idx="21">
                  <c:v>2.6</c:v>
                </c:pt>
                <c:pt idx="22">
                  <c:v>2.7</c:v>
                </c:pt>
                <c:pt idx="23">
                  <c:v>2.8</c:v>
                </c:pt>
                <c:pt idx="24">
                  <c:v>2.9</c:v>
                </c:pt>
              </c:numCache>
            </c:numRef>
          </c:xVal>
          <c:yVal>
            <c:numRef>
              <c:f>'DEA 30%'!$C$16:$AL$16</c:f>
              <c:numCache>
                <c:formatCode>General</c:formatCode>
                <c:ptCount val="36"/>
                <c:pt idx="0">
                  <c:v>0.59234379770727508</c:v>
                </c:pt>
                <c:pt idx="1">
                  <c:v>0.58712928117907881</c:v>
                </c:pt>
                <c:pt idx="2">
                  <c:v>0.58127267644504721</c:v>
                </c:pt>
                <c:pt idx="3">
                  <c:v>0.57504204749393473</c:v>
                </c:pt>
                <c:pt idx="4">
                  <c:v>0.56866390998719329</c:v>
                </c:pt>
                <c:pt idx="5">
                  <c:v>0.56222670651643658</c:v>
                </c:pt>
                <c:pt idx="6">
                  <c:v>0.55579603907680231</c:v>
                </c:pt>
                <c:pt idx="7">
                  <c:v>0.54945153886588338</c:v>
                </c:pt>
                <c:pt idx="8">
                  <c:v>0.54320938229455418</c:v>
                </c:pt>
                <c:pt idx="9">
                  <c:v>0.53710342803923061</c:v>
                </c:pt>
                <c:pt idx="10">
                  <c:v>0.53109941821304063</c:v>
                </c:pt>
                <c:pt idx="11">
                  <c:v>0.52520509826848316</c:v>
                </c:pt>
                <c:pt idx="12">
                  <c:v>0.51944378226751875</c:v>
                </c:pt>
                <c:pt idx="13">
                  <c:v>0.51375533503293636</c:v>
                </c:pt>
                <c:pt idx="14">
                  <c:v>0.50817152085830553</c:v>
                </c:pt>
                <c:pt idx="15">
                  <c:v>0.502616792857009</c:v>
                </c:pt>
                <c:pt idx="16">
                  <c:v>0.49711938263090988</c:v>
                </c:pt>
                <c:pt idx="17">
                  <c:v>0.49160539621558363</c:v>
                </c:pt>
                <c:pt idx="18">
                  <c:v>0.48602992266954942</c:v>
                </c:pt>
                <c:pt idx="19">
                  <c:v>0.48272616808595736</c:v>
                </c:pt>
                <c:pt idx="20">
                  <c:v>0.47429283435830766</c:v>
                </c:pt>
                <c:pt idx="21">
                  <c:v>0.46772392441550126</c:v>
                </c:pt>
                <c:pt idx="22">
                  <c:v>0.460012536922625</c:v>
                </c:pt>
                <c:pt idx="23">
                  <c:v>0.4497912771597436</c:v>
                </c:pt>
                <c:pt idx="24">
                  <c:v>0.43600586247121109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913E-42E4-98C7-375C138D41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1353456"/>
        <c:axId val="461346792"/>
      </c:scatterChart>
      <c:valAx>
        <c:axId val="461353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L/G, [kg_solvent chimic/kg_gaze de ardere]</a:t>
                </a:r>
                <a:endParaRPr lang="en-US" sz="10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461346792"/>
        <c:crosses val="autoZero"/>
        <c:crossBetween val="midCat"/>
      </c:valAx>
      <c:valAx>
        <c:axId val="461346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Grad </a:t>
                </a:r>
                <a:r>
                  <a:rPr lang="ro-RO" baseline="0"/>
                  <a:t>încărcare solvent bogat în CO</a:t>
                </a:r>
                <a:r>
                  <a:rPr lang="ro-RO" baseline="-25000"/>
                  <a:t>2</a:t>
                </a:r>
                <a:r>
                  <a:rPr lang="ro-RO" baseline="0"/>
                  <a:t>, [molCO2/molamină]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461353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  <c:userShapes r:id="rId3"/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o-R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'MDEA 30%'!$C$8:$AF$8</c:f>
              <c:numCache>
                <c:formatCode>General</c:formatCode>
                <c:ptCount val="30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2.5</c:v>
                </c:pt>
                <c:pt idx="12">
                  <c:v>3</c:v>
                </c:pt>
                <c:pt idx="13">
                  <c:v>3.5</c:v>
                </c:pt>
                <c:pt idx="14">
                  <c:v>4</c:v>
                </c:pt>
                <c:pt idx="15">
                  <c:v>4.5</c:v>
                </c:pt>
                <c:pt idx="16">
                  <c:v>5</c:v>
                </c:pt>
                <c:pt idx="17">
                  <c:v>5.2584999999999997</c:v>
                </c:pt>
                <c:pt idx="18">
                  <c:v>6</c:v>
                </c:pt>
              </c:numCache>
            </c:numRef>
          </c:xVal>
          <c:yVal>
            <c:numRef>
              <c:f>'MDEA 30%'!$C$19:$AF$19</c:f>
              <c:numCache>
                <c:formatCode>General</c:formatCode>
                <c:ptCount val="30"/>
                <c:pt idx="0">
                  <c:v>321.39699999999999</c:v>
                </c:pt>
                <c:pt idx="1">
                  <c:v>388.60199999999998</c:v>
                </c:pt>
                <c:pt idx="2">
                  <c:v>456.28800000000001</c:v>
                </c:pt>
                <c:pt idx="3">
                  <c:v>524.40700000000004</c:v>
                </c:pt>
                <c:pt idx="4">
                  <c:v>592.93200000000002</c:v>
                </c:pt>
                <c:pt idx="5">
                  <c:v>661.74599999999998</c:v>
                </c:pt>
                <c:pt idx="6">
                  <c:v>800.2</c:v>
                </c:pt>
                <c:pt idx="7">
                  <c:v>939.54399999999998</c:v>
                </c:pt>
                <c:pt idx="8">
                  <c:v>1079.05</c:v>
                </c:pt>
                <c:pt idx="9">
                  <c:v>1215.96</c:v>
                </c:pt>
                <c:pt idx="10">
                  <c:v>1340.42</c:v>
                </c:pt>
                <c:pt idx="11">
                  <c:v>1631.31</c:v>
                </c:pt>
                <c:pt idx="12">
                  <c:v>1918.08</c:v>
                </c:pt>
                <c:pt idx="13">
                  <c:v>2199.34</c:v>
                </c:pt>
                <c:pt idx="14">
                  <c:v>2478.5500000000002</c:v>
                </c:pt>
                <c:pt idx="15">
                  <c:v>2755.61</c:v>
                </c:pt>
                <c:pt idx="16">
                  <c:v>3030.4</c:v>
                </c:pt>
                <c:pt idx="17">
                  <c:v>3171.19</c:v>
                </c:pt>
                <c:pt idx="18">
                  <c:v>3562.25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76DD-41CD-BB9C-DB6336B0C5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619400"/>
        <c:axId val="488621360"/>
      </c:scatterChart>
      <c:valAx>
        <c:axId val="488619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L/G, [kg_solvent chimic/kg_gaze de ardere]</a:t>
                </a:r>
                <a:endParaRPr lang="en-US" sz="10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488621360"/>
        <c:crosses val="autoZero"/>
        <c:crossBetween val="midCat"/>
      </c:valAx>
      <c:valAx>
        <c:axId val="488621360"/>
        <c:scaling>
          <c:orientation val="minMax"/>
          <c:min val="4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o-RO"/>
                  <a:t>Consumul</a:t>
                </a:r>
                <a:r>
                  <a:rPr lang="ro-RO" baseline="0"/>
                  <a:t> specific de energie termică, [GJ/tCO2Î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2.5867136978248089E-2"/>
              <c:y val="5.14619883040935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488619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  <c:userShapes r:id="rId3"/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o-R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280314960629922"/>
          <c:y val="5.2256532066508314E-2"/>
          <c:w val="0.76893307086614171"/>
          <c:h val="0.73680139151252177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'MDEA 30%'!$C$8:$AF$8</c:f>
              <c:numCache>
                <c:formatCode>General</c:formatCode>
                <c:ptCount val="30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2.5</c:v>
                </c:pt>
                <c:pt idx="12">
                  <c:v>3</c:v>
                </c:pt>
                <c:pt idx="13">
                  <c:v>3.5</c:v>
                </c:pt>
                <c:pt idx="14">
                  <c:v>4</c:v>
                </c:pt>
                <c:pt idx="15">
                  <c:v>4.5</c:v>
                </c:pt>
                <c:pt idx="16">
                  <c:v>5</c:v>
                </c:pt>
                <c:pt idx="17">
                  <c:v>5.2584999999999997</c:v>
                </c:pt>
                <c:pt idx="18">
                  <c:v>6</c:v>
                </c:pt>
              </c:numCache>
            </c:numRef>
          </c:xVal>
          <c:yVal>
            <c:numRef>
              <c:f>'MDEA 30%'!$C$16:$AF$16</c:f>
              <c:numCache>
                <c:formatCode>General</c:formatCode>
                <c:ptCount val="30"/>
                <c:pt idx="0">
                  <c:v>0.48356906178858305</c:v>
                </c:pt>
                <c:pt idx="1">
                  <c:v>0.47022074004742781</c:v>
                </c:pt>
                <c:pt idx="2">
                  <c:v>0.45674652850071612</c:v>
                </c:pt>
                <c:pt idx="3">
                  <c:v>0.44330858381082344</c:v>
                </c:pt>
                <c:pt idx="4">
                  <c:v>0.43060762201729669</c:v>
                </c:pt>
                <c:pt idx="5">
                  <c:v>0.41860926975217944</c:v>
                </c:pt>
                <c:pt idx="6">
                  <c:v>0.39688540310037379</c:v>
                </c:pt>
                <c:pt idx="7">
                  <c:v>0.37803941749612779</c:v>
                </c:pt>
                <c:pt idx="8">
                  <c:v>0.36169715119434326</c:v>
                </c:pt>
                <c:pt idx="9">
                  <c:v>0.34749307637788601</c:v>
                </c:pt>
                <c:pt idx="10">
                  <c:v>0.33508234332705816</c:v>
                </c:pt>
                <c:pt idx="11">
                  <c:v>0.31016435486758265</c:v>
                </c:pt>
                <c:pt idx="12">
                  <c:v>0.2916331084935736</c:v>
                </c:pt>
                <c:pt idx="13">
                  <c:v>0.27738888871410727</c:v>
                </c:pt>
                <c:pt idx="14">
                  <c:v>0.26614814331253522</c:v>
                </c:pt>
                <c:pt idx="15">
                  <c:v>0.25693250594429529</c:v>
                </c:pt>
                <c:pt idx="16">
                  <c:v>0.24909173564379172</c:v>
                </c:pt>
                <c:pt idx="17">
                  <c:v>0.24535048038754073</c:v>
                </c:pt>
                <c:pt idx="18">
                  <c:v>0.2341408864120246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913E-42E4-98C7-375C138D41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622144"/>
        <c:axId val="488622536"/>
      </c:scatterChart>
      <c:valAx>
        <c:axId val="488622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L/G, [kg_solvent chimic/kg_gaze de ardere]</a:t>
                </a:r>
                <a:endParaRPr lang="en-US" sz="10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488622536"/>
        <c:crosses val="autoZero"/>
        <c:crossBetween val="midCat"/>
      </c:valAx>
      <c:valAx>
        <c:axId val="488622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Grad </a:t>
                </a:r>
                <a:r>
                  <a:rPr lang="ro-RO" baseline="0"/>
                  <a:t>încărcare solvent bogat în CO</a:t>
                </a:r>
                <a:r>
                  <a:rPr lang="ro-RO" baseline="-25000"/>
                  <a:t>2</a:t>
                </a:r>
                <a:r>
                  <a:rPr lang="ro-RO" baseline="0"/>
                  <a:t>, [molCO2/molamină]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488622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  <c:userShapes r:id="rId3"/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o-R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'MDEA 30%'!$C$8:$AF$8</c:f>
              <c:numCache>
                <c:formatCode>General</c:formatCode>
                <c:ptCount val="30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2.5</c:v>
                </c:pt>
                <c:pt idx="12">
                  <c:v>3</c:v>
                </c:pt>
                <c:pt idx="13">
                  <c:v>3.5</c:v>
                </c:pt>
                <c:pt idx="14">
                  <c:v>4</c:v>
                </c:pt>
                <c:pt idx="15">
                  <c:v>4.5</c:v>
                </c:pt>
                <c:pt idx="16">
                  <c:v>5</c:v>
                </c:pt>
                <c:pt idx="17">
                  <c:v>5.2584999999999997</c:v>
                </c:pt>
                <c:pt idx="18">
                  <c:v>6</c:v>
                </c:pt>
              </c:numCache>
            </c:numRef>
          </c:xVal>
          <c:yVal>
            <c:numRef>
              <c:f>'MDEA 30%'!$C$12:$AF$12</c:f>
              <c:numCache>
                <c:formatCode>General</c:formatCode>
                <c:ptCount val="30"/>
                <c:pt idx="0">
                  <c:v>16.867042233713811</c:v>
                </c:pt>
                <c:pt idx="1">
                  <c:v>19.681713036555081</c:v>
                </c:pt>
                <c:pt idx="2">
                  <c:v>22.304024791115449</c:v>
                </c:pt>
                <c:pt idx="3">
                  <c:v>24.740373258090269</c:v>
                </c:pt>
                <c:pt idx="4">
                  <c:v>27.035466425497862</c:v>
                </c:pt>
                <c:pt idx="5">
                  <c:v>29.202395031603533</c:v>
                </c:pt>
                <c:pt idx="6">
                  <c:v>33.224356054117358</c:v>
                </c:pt>
                <c:pt idx="7">
                  <c:v>36.921242877079955</c:v>
                </c:pt>
                <c:pt idx="8">
                  <c:v>40.371674734301649</c:v>
                </c:pt>
                <c:pt idx="9">
                  <c:v>43.63463475219482</c:v>
                </c:pt>
                <c:pt idx="10">
                  <c:v>46.75142732682886</c:v>
                </c:pt>
                <c:pt idx="11">
                  <c:v>54.093735670316867</c:v>
                </c:pt>
                <c:pt idx="12">
                  <c:v>61.034420163826219</c:v>
                </c:pt>
                <c:pt idx="13">
                  <c:v>67.729048647427518</c:v>
                </c:pt>
                <c:pt idx="14">
                  <c:v>74.268096823588465</c:v>
                </c:pt>
                <c:pt idx="15">
                  <c:v>80.658758364670064</c:v>
                </c:pt>
                <c:pt idx="16">
                  <c:v>86.886059959570815</c:v>
                </c:pt>
                <c:pt idx="17">
                  <c:v>90.005678886933183</c:v>
                </c:pt>
                <c:pt idx="18">
                  <c:v>98.005567428647382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125D-4619-B47D-127A67AF8C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623320"/>
        <c:axId val="488617048"/>
      </c:scatterChart>
      <c:valAx>
        <c:axId val="488623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L/G,</a:t>
                </a:r>
                <a:r>
                  <a:rPr lang="en-US" baseline="0"/>
                  <a:t> [kg_solvent chimic/kg_gaze de ardere]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488617048"/>
        <c:crosses val="autoZero"/>
        <c:crossBetween val="midCat"/>
      </c:valAx>
      <c:valAx>
        <c:axId val="488617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Eficien</a:t>
                </a:r>
                <a:r>
                  <a:rPr lang="ro-RO"/>
                  <a:t>ța</a:t>
                </a:r>
                <a:r>
                  <a:rPr lang="ro-RO" baseline="0"/>
                  <a:t> de captare, [%]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488623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  <c:userShapes r:id="rId3"/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o-R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'MEA 20%'!$C$8:$S$8</c:f>
              <c:numCache>
                <c:formatCode>General</c:formatCode>
                <c:ptCount val="17"/>
                <c:pt idx="0" formatCode="0.0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  <c:pt idx="6">
                  <c:v>1.1000000000000001</c:v>
                </c:pt>
                <c:pt idx="7">
                  <c:v>1.2</c:v>
                </c:pt>
                <c:pt idx="8">
                  <c:v>1.3</c:v>
                </c:pt>
                <c:pt idx="9">
                  <c:v>1.4</c:v>
                </c:pt>
                <c:pt idx="10">
                  <c:v>1.5</c:v>
                </c:pt>
                <c:pt idx="11">
                  <c:v>1.6</c:v>
                </c:pt>
                <c:pt idx="12">
                  <c:v>1.7</c:v>
                </c:pt>
                <c:pt idx="13">
                  <c:v>1.7967900000000001</c:v>
                </c:pt>
                <c:pt idx="14">
                  <c:v>1.9</c:v>
                </c:pt>
                <c:pt idx="15">
                  <c:v>2</c:v>
                </c:pt>
                <c:pt idx="16">
                  <c:v>2.1</c:v>
                </c:pt>
              </c:numCache>
            </c:numRef>
          </c:xVal>
          <c:yVal>
            <c:numRef>
              <c:f>'MEA 20%'!$C$12:$S$12</c:f>
              <c:numCache>
                <c:formatCode>General</c:formatCode>
                <c:ptCount val="17"/>
                <c:pt idx="0">
                  <c:v>26.419428750103791</c:v>
                </c:pt>
                <c:pt idx="1">
                  <c:v>31.609071158510389</c:v>
                </c:pt>
                <c:pt idx="2">
                  <c:v>36.746550091772313</c:v>
                </c:pt>
                <c:pt idx="3">
                  <c:v>41.835343946057179</c:v>
                </c:pt>
                <c:pt idx="4">
                  <c:v>46.874654809699315</c:v>
                </c:pt>
                <c:pt idx="5">
                  <c:v>51.865430202801711</c:v>
                </c:pt>
                <c:pt idx="6">
                  <c:v>56.812781746972739</c:v>
                </c:pt>
                <c:pt idx="7">
                  <c:v>61.71355519765892</c:v>
                </c:pt>
                <c:pt idx="8">
                  <c:v>66.5707053214973</c:v>
                </c:pt>
                <c:pt idx="9">
                  <c:v>71.384356792185642</c:v>
                </c:pt>
                <c:pt idx="10">
                  <c:v>76.152253015794415</c:v>
                </c:pt>
                <c:pt idx="11">
                  <c:v>80.879904569764776</c:v>
                </c:pt>
                <c:pt idx="12">
                  <c:v>85.545830175971943</c:v>
                </c:pt>
                <c:pt idx="13">
                  <c:v>90.000430124257292</c:v>
                </c:pt>
                <c:pt idx="14">
                  <c:v>94.637340420783715</c:v>
                </c:pt>
                <c:pt idx="15">
                  <c:v>98.808148747690112</c:v>
                </c:pt>
                <c:pt idx="16">
                  <c:v>99.999995517975577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125D-4619-B47D-127A67AF8C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620968"/>
        <c:axId val="488617440"/>
      </c:scatterChart>
      <c:valAx>
        <c:axId val="488620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L/G,</a:t>
                </a:r>
                <a:r>
                  <a:rPr lang="en-US" baseline="0"/>
                  <a:t> [kg_solvent chimic/kg_gaze de ardere]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488617440"/>
        <c:crosses val="autoZero"/>
        <c:crossBetween val="midCat"/>
      </c:valAx>
      <c:valAx>
        <c:axId val="48861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Eficien</a:t>
                </a:r>
                <a:r>
                  <a:rPr lang="ro-RO"/>
                  <a:t>ța</a:t>
                </a:r>
                <a:r>
                  <a:rPr lang="ro-RO" baseline="0"/>
                  <a:t> de captare, [%]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488620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o-R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280314960629922"/>
          <c:y val="5.2256532066508314E-2"/>
          <c:w val="0.76893307086614171"/>
          <c:h val="0.73680139151252177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'MEA 20%'!$C$8:$S$8</c:f>
              <c:numCache>
                <c:formatCode>General</c:formatCode>
                <c:ptCount val="17"/>
                <c:pt idx="0" formatCode="0.0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  <c:pt idx="6">
                  <c:v>1.1000000000000001</c:v>
                </c:pt>
                <c:pt idx="7">
                  <c:v>1.2</c:v>
                </c:pt>
                <c:pt idx="8">
                  <c:v>1.3</c:v>
                </c:pt>
                <c:pt idx="9">
                  <c:v>1.4</c:v>
                </c:pt>
                <c:pt idx="10">
                  <c:v>1.5</c:v>
                </c:pt>
                <c:pt idx="11">
                  <c:v>1.6</c:v>
                </c:pt>
                <c:pt idx="12">
                  <c:v>1.7</c:v>
                </c:pt>
                <c:pt idx="13">
                  <c:v>1.7967900000000001</c:v>
                </c:pt>
                <c:pt idx="14">
                  <c:v>1.9</c:v>
                </c:pt>
                <c:pt idx="15">
                  <c:v>2</c:v>
                </c:pt>
                <c:pt idx="16">
                  <c:v>2.1</c:v>
                </c:pt>
              </c:numCache>
            </c:numRef>
          </c:xVal>
          <c:yVal>
            <c:numRef>
              <c:f>'MEA 20%'!$C$16:$S$16</c:f>
              <c:numCache>
                <c:formatCode>General</c:formatCode>
                <c:ptCount val="17"/>
                <c:pt idx="0">
                  <c:v>0.58248000912610409</c:v>
                </c:pt>
                <c:pt idx="1">
                  <c:v>0.58076989032199733</c:v>
                </c:pt>
                <c:pt idx="2">
                  <c:v>0.57873340079449775</c:v>
                </c:pt>
                <c:pt idx="3">
                  <c:v>0.57654027486341897</c:v>
                </c:pt>
                <c:pt idx="4">
                  <c:v>0.5742337807944603</c:v>
                </c:pt>
                <c:pt idx="5">
                  <c:v>0.57185767886332806</c:v>
                </c:pt>
                <c:pt idx="6">
                  <c:v>0.56948283732723204</c:v>
                </c:pt>
                <c:pt idx="7">
                  <c:v>0.56708090567894665</c:v>
                </c:pt>
                <c:pt idx="8">
                  <c:v>0.56468306568419013</c:v>
                </c:pt>
                <c:pt idx="9">
                  <c:v>0.5622911935882331</c:v>
                </c:pt>
                <c:pt idx="10">
                  <c:v>0.55988861085080055</c:v>
                </c:pt>
                <c:pt idx="11">
                  <c:v>0.55751839189882757</c:v>
                </c:pt>
                <c:pt idx="12">
                  <c:v>0.55503891975215247</c:v>
                </c:pt>
                <c:pt idx="13">
                  <c:v>0.55254380938617853</c:v>
                </c:pt>
                <c:pt idx="14">
                  <c:v>0.54954991983564394</c:v>
                </c:pt>
                <c:pt idx="15">
                  <c:v>0.54531530437568532</c:v>
                </c:pt>
                <c:pt idx="16">
                  <c:v>0.52586785713564366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913E-42E4-98C7-375C138D41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617832"/>
        <c:axId val="488618224"/>
      </c:scatterChart>
      <c:valAx>
        <c:axId val="488617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L/G, [kg_solvent chimic/kg_gaze de ardere]</a:t>
                </a:r>
                <a:endParaRPr lang="en-US" sz="10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488618224"/>
        <c:crosses val="autoZero"/>
        <c:crossBetween val="midCat"/>
      </c:valAx>
      <c:valAx>
        <c:axId val="48861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Grad </a:t>
                </a:r>
                <a:r>
                  <a:rPr lang="ro-RO" baseline="0"/>
                  <a:t>încărcare solvent bogat în CO</a:t>
                </a:r>
                <a:r>
                  <a:rPr lang="ro-RO" baseline="-25000"/>
                  <a:t>2</a:t>
                </a:r>
                <a:r>
                  <a:rPr lang="ro-RO" baseline="0"/>
                  <a:t>, [molCO2/molamină]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488617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  <c:userShapes r:id="rId3"/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o-R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'MEA 20%'!$C$8:$S$8</c:f>
              <c:numCache>
                <c:formatCode>General</c:formatCode>
                <c:ptCount val="17"/>
                <c:pt idx="0" formatCode="0.0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  <c:pt idx="6">
                  <c:v>1.1000000000000001</c:v>
                </c:pt>
                <c:pt idx="7">
                  <c:v>1.2</c:v>
                </c:pt>
                <c:pt idx="8">
                  <c:v>1.3</c:v>
                </c:pt>
                <c:pt idx="9">
                  <c:v>1.4</c:v>
                </c:pt>
                <c:pt idx="10">
                  <c:v>1.5</c:v>
                </c:pt>
                <c:pt idx="11">
                  <c:v>1.6</c:v>
                </c:pt>
                <c:pt idx="12">
                  <c:v>1.7</c:v>
                </c:pt>
                <c:pt idx="13">
                  <c:v>1.7967900000000001</c:v>
                </c:pt>
                <c:pt idx="14">
                  <c:v>1.9</c:v>
                </c:pt>
                <c:pt idx="15">
                  <c:v>2</c:v>
                </c:pt>
                <c:pt idx="16">
                  <c:v>2.1</c:v>
                </c:pt>
              </c:numCache>
            </c:numRef>
          </c:xVal>
          <c:yVal>
            <c:numRef>
              <c:f>'MEA 20%'!$C$19:$S$19</c:f>
              <c:numCache>
                <c:formatCode>General</c:formatCode>
                <c:ptCount val="17"/>
                <c:pt idx="0">
                  <c:v>790.06500000000005</c:v>
                </c:pt>
                <c:pt idx="1">
                  <c:v>950.61800000000005</c:v>
                </c:pt>
                <c:pt idx="2">
                  <c:v>1111.58</c:v>
                </c:pt>
                <c:pt idx="3">
                  <c:v>1272.94</c:v>
                </c:pt>
                <c:pt idx="4">
                  <c:v>1434.79</c:v>
                </c:pt>
                <c:pt idx="5">
                  <c:v>1596.26</c:v>
                </c:pt>
                <c:pt idx="6">
                  <c:v>1757.36</c:v>
                </c:pt>
                <c:pt idx="7">
                  <c:v>1917.9</c:v>
                </c:pt>
                <c:pt idx="8">
                  <c:v>2077.71</c:v>
                </c:pt>
                <c:pt idx="9">
                  <c:v>2237.0500000000002</c:v>
                </c:pt>
                <c:pt idx="10">
                  <c:v>2395.9499999999998</c:v>
                </c:pt>
                <c:pt idx="11">
                  <c:v>2554.5700000000002</c:v>
                </c:pt>
                <c:pt idx="12">
                  <c:v>2712.71</c:v>
                </c:pt>
                <c:pt idx="13">
                  <c:v>2865.46</c:v>
                </c:pt>
                <c:pt idx="14">
                  <c:v>3027.63</c:v>
                </c:pt>
                <c:pt idx="15">
                  <c:v>3182.75</c:v>
                </c:pt>
                <c:pt idx="16">
                  <c:v>3319.47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76DD-41CD-BB9C-DB6336B0C5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593136"/>
        <c:axId val="488597448"/>
      </c:scatterChart>
      <c:valAx>
        <c:axId val="488593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L/G, [kg_solvent chimic/kg_gaze de ardere]</a:t>
                </a:r>
                <a:endParaRPr lang="en-US" sz="10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488597448"/>
        <c:crosses val="autoZero"/>
        <c:crossBetween val="midCat"/>
      </c:valAx>
      <c:valAx>
        <c:axId val="488597448"/>
        <c:scaling>
          <c:orientation val="minMax"/>
          <c:min val="4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o-RO"/>
                  <a:t>Consumul</a:t>
                </a:r>
                <a:r>
                  <a:rPr lang="ro-RO" baseline="0"/>
                  <a:t> specific de energie termică, [GJ/tCO2Î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2.5867136978248089E-2"/>
              <c:y val="5.14619883040935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488593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  <c:userShapes r:id="rId3"/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o-R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'DEA 20%'!$C$8:$AL$8</c:f>
              <c:numCache>
                <c:formatCode>General</c:formatCode>
                <c:ptCount val="36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  <c:pt idx="6">
                  <c:v>1.1000000000000001</c:v>
                </c:pt>
                <c:pt idx="7">
                  <c:v>1.2</c:v>
                </c:pt>
                <c:pt idx="8">
                  <c:v>1.3</c:v>
                </c:pt>
                <c:pt idx="9">
                  <c:v>1.4</c:v>
                </c:pt>
                <c:pt idx="10">
                  <c:v>1.5</c:v>
                </c:pt>
                <c:pt idx="11">
                  <c:v>1.6</c:v>
                </c:pt>
                <c:pt idx="12">
                  <c:v>1.7</c:v>
                </c:pt>
                <c:pt idx="13">
                  <c:v>1.8</c:v>
                </c:pt>
                <c:pt idx="14">
                  <c:v>1.9</c:v>
                </c:pt>
                <c:pt idx="15">
                  <c:v>2</c:v>
                </c:pt>
                <c:pt idx="16">
                  <c:v>2.2000000000000002</c:v>
                </c:pt>
                <c:pt idx="17">
                  <c:v>2.4</c:v>
                </c:pt>
                <c:pt idx="18">
                  <c:v>2.6</c:v>
                </c:pt>
                <c:pt idx="19">
                  <c:v>2.8</c:v>
                </c:pt>
                <c:pt idx="20">
                  <c:v>3</c:v>
                </c:pt>
                <c:pt idx="21">
                  <c:v>3.2</c:v>
                </c:pt>
                <c:pt idx="22">
                  <c:v>3.4097535070711671</c:v>
                </c:pt>
                <c:pt idx="23">
                  <c:v>3.6</c:v>
                </c:pt>
                <c:pt idx="24">
                  <c:v>3.8</c:v>
                </c:pt>
                <c:pt idx="25">
                  <c:v>4</c:v>
                </c:pt>
              </c:numCache>
            </c:numRef>
          </c:xVal>
          <c:yVal>
            <c:numRef>
              <c:f>'DEA 20%'!$C$19:$AL$19</c:f>
              <c:numCache>
                <c:formatCode>General</c:formatCode>
                <c:ptCount val="36"/>
                <c:pt idx="0">
                  <c:v>577.47199999999998</c:v>
                </c:pt>
                <c:pt idx="1">
                  <c:v>695.78700000000003</c:v>
                </c:pt>
                <c:pt idx="2">
                  <c:v>814.54899999999998</c:v>
                </c:pt>
                <c:pt idx="3">
                  <c:v>933.77</c:v>
                </c:pt>
                <c:pt idx="4">
                  <c:v>1053.44</c:v>
                </c:pt>
                <c:pt idx="5">
                  <c:v>1173.48</c:v>
                </c:pt>
                <c:pt idx="6">
                  <c:v>1293.95</c:v>
                </c:pt>
                <c:pt idx="7">
                  <c:v>1414.71</c:v>
                </c:pt>
                <c:pt idx="8">
                  <c:v>1535.79</c:v>
                </c:pt>
                <c:pt idx="9">
                  <c:v>1657.11</c:v>
                </c:pt>
                <c:pt idx="10">
                  <c:v>1778.66</c:v>
                </c:pt>
                <c:pt idx="11">
                  <c:v>1900.4</c:v>
                </c:pt>
                <c:pt idx="12">
                  <c:v>2022.21</c:v>
                </c:pt>
                <c:pt idx="13">
                  <c:v>2143.9299999999998</c:v>
                </c:pt>
                <c:pt idx="14">
                  <c:v>2265.21</c:v>
                </c:pt>
                <c:pt idx="15">
                  <c:v>2385.29</c:v>
                </c:pt>
                <c:pt idx="16">
                  <c:v>2620.38</c:v>
                </c:pt>
                <c:pt idx="17">
                  <c:v>2851.72</c:v>
                </c:pt>
                <c:pt idx="18">
                  <c:v>3081.28</c:v>
                </c:pt>
                <c:pt idx="19">
                  <c:v>3309.56</c:v>
                </c:pt>
                <c:pt idx="20">
                  <c:v>3536.66</c:v>
                </c:pt>
                <c:pt idx="21">
                  <c:v>3762.55</c:v>
                </c:pt>
                <c:pt idx="22">
                  <c:v>3997.83</c:v>
                </c:pt>
                <c:pt idx="23">
                  <c:v>4209.4399999999996</c:v>
                </c:pt>
                <c:pt idx="24">
                  <c:v>4428.5</c:v>
                </c:pt>
                <c:pt idx="25">
                  <c:v>4637.9399999999996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76DD-41CD-BB9C-DB6336B0C5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593920"/>
        <c:axId val="488602936"/>
      </c:scatterChart>
      <c:valAx>
        <c:axId val="488593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L/G, [kg_solvent chimic/kg_gaze de ardere]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488602936"/>
        <c:crosses val="autoZero"/>
        <c:crossBetween val="midCat"/>
      </c:valAx>
      <c:valAx>
        <c:axId val="488602936"/>
        <c:scaling>
          <c:orientation val="minMax"/>
          <c:min val="4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o-RO"/>
                  <a:t>Consumul</a:t>
                </a:r>
                <a:r>
                  <a:rPr lang="ro-RO" baseline="0"/>
                  <a:t> specific de energie termică, [GJ/tCO2Î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2.5867136978248089E-2"/>
              <c:y val="5.14619883040935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488593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  <c:userShapes r:id="rId3"/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o-R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280314960629922"/>
          <c:y val="5.2256532066508314E-2"/>
          <c:w val="0.76893307086614171"/>
          <c:h val="0.73680139151252177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'DEA 20%'!$C$8:$AL$8</c:f>
              <c:numCache>
                <c:formatCode>General</c:formatCode>
                <c:ptCount val="36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  <c:pt idx="6">
                  <c:v>1.1000000000000001</c:v>
                </c:pt>
                <c:pt idx="7">
                  <c:v>1.2</c:v>
                </c:pt>
                <c:pt idx="8">
                  <c:v>1.3</c:v>
                </c:pt>
                <c:pt idx="9">
                  <c:v>1.4</c:v>
                </c:pt>
                <c:pt idx="10">
                  <c:v>1.5</c:v>
                </c:pt>
                <c:pt idx="11">
                  <c:v>1.6</c:v>
                </c:pt>
                <c:pt idx="12">
                  <c:v>1.7</c:v>
                </c:pt>
                <c:pt idx="13">
                  <c:v>1.8</c:v>
                </c:pt>
                <c:pt idx="14">
                  <c:v>1.9</c:v>
                </c:pt>
                <c:pt idx="15">
                  <c:v>2</c:v>
                </c:pt>
                <c:pt idx="16">
                  <c:v>2.2000000000000002</c:v>
                </c:pt>
                <c:pt idx="17">
                  <c:v>2.4</c:v>
                </c:pt>
                <c:pt idx="18">
                  <c:v>2.6</c:v>
                </c:pt>
                <c:pt idx="19">
                  <c:v>2.8</c:v>
                </c:pt>
                <c:pt idx="20">
                  <c:v>3</c:v>
                </c:pt>
                <c:pt idx="21">
                  <c:v>3.2</c:v>
                </c:pt>
                <c:pt idx="22">
                  <c:v>3.4097535070711671</c:v>
                </c:pt>
                <c:pt idx="23">
                  <c:v>3.6</c:v>
                </c:pt>
                <c:pt idx="24">
                  <c:v>3.8</c:v>
                </c:pt>
                <c:pt idx="25">
                  <c:v>4</c:v>
                </c:pt>
              </c:numCache>
            </c:numRef>
          </c:xVal>
          <c:yVal>
            <c:numRef>
              <c:f>'DEA 20%'!$C$16:$AL$16</c:f>
              <c:numCache>
                <c:formatCode>General</c:formatCode>
                <c:ptCount val="36"/>
                <c:pt idx="0">
                  <c:v>0.64165606524935548</c:v>
                </c:pt>
                <c:pt idx="1">
                  <c:v>0.63673281957531169</c:v>
                </c:pt>
                <c:pt idx="2">
                  <c:v>0.63111144882069137</c:v>
                </c:pt>
                <c:pt idx="3">
                  <c:v>0.62510804070019865</c:v>
                </c:pt>
                <c:pt idx="4">
                  <c:v>0.6189012616809082</c:v>
                </c:pt>
                <c:pt idx="5">
                  <c:v>0.61266564528003531</c:v>
                </c:pt>
                <c:pt idx="6">
                  <c:v>0.60646645697545021</c:v>
                </c:pt>
                <c:pt idx="7">
                  <c:v>0.60036743275876425</c:v>
                </c:pt>
                <c:pt idx="8">
                  <c:v>0.59440259548928043</c:v>
                </c:pt>
                <c:pt idx="9">
                  <c:v>0.5885795474822455</c:v>
                </c:pt>
                <c:pt idx="10">
                  <c:v>0.58291101118605493</c:v>
                </c:pt>
                <c:pt idx="11">
                  <c:v>0.57744307488333935</c:v>
                </c:pt>
                <c:pt idx="12">
                  <c:v>0.57211919491753727</c:v>
                </c:pt>
                <c:pt idx="13">
                  <c:v>0.56696520836525865</c:v>
                </c:pt>
                <c:pt idx="14">
                  <c:v>0.56198178229364293</c:v>
                </c:pt>
                <c:pt idx="15">
                  <c:v>0.55713163044383374</c:v>
                </c:pt>
                <c:pt idx="16">
                  <c:v>0.54791413443427583</c:v>
                </c:pt>
                <c:pt idx="17">
                  <c:v>0.53921474658535029</c:v>
                </c:pt>
                <c:pt idx="18">
                  <c:v>0.53098058306453777</c:v>
                </c:pt>
                <c:pt idx="19">
                  <c:v>0.52317440609067234</c:v>
                </c:pt>
                <c:pt idx="20">
                  <c:v>0.51565683919589445</c:v>
                </c:pt>
                <c:pt idx="21">
                  <c:v>0.50834611942934715</c:v>
                </c:pt>
                <c:pt idx="22">
                  <c:v>0.50073767856995677</c:v>
                </c:pt>
                <c:pt idx="23">
                  <c:v>0.4935700694300077</c:v>
                </c:pt>
                <c:pt idx="24">
                  <c:v>0.48501836342041715</c:v>
                </c:pt>
                <c:pt idx="25">
                  <c:v>0.47254116704138555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913E-42E4-98C7-375C138D41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597840"/>
        <c:axId val="488602544"/>
      </c:scatterChart>
      <c:valAx>
        <c:axId val="488597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L/G, [kg_solvent chimic/kg_gaze de ardere]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488602544"/>
        <c:crosses val="autoZero"/>
        <c:crossBetween val="midCat"/>
      </c:valAx>
      <c:valAx>
        <c:axId val="48860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Grad </a:t>
                </a:r>
                <a:r>
                  <a:rPr lang="ro-RO" baseline="0"/>
                  <a:t>încărcare solvent bogat în CO</a:t>
                </a:r>
                <a:r>
                  <a:rPr lang="ro-RO" baseline="-25000"/>
                  <a:t>2</a:t>
                </a:r>
                <a:r>
                  <a:rPr lang="ro-RO" baseline="0"/>
                  <a:t>, [molCO2/molamină]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488597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  <c:userShapes r:id="rId3"/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o-R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'DEA 20%'!$C$8:$AL$8</c:f>
              <c:numCache>
                <c:formatCode>General</c:formatCode>
                <c:ptCount val="36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  <c:pt idx="6">
                  <c:v>1.1000000000000001</c:v>
                </c:pt>
                <c:pt idx="7">
                  <c:v>1.2</c:v>
                </c:pt>
                <c:pt idx="8">
                  <c:v>1.3</c:v>
                </c:pt>
                <c:pt idx="9">
                  <c:v>1.4</c:v>
                </c:pt>
                <c:pt idx="10">
                  <c:v>1.5</c:v>
                </c:pt>
                <c:pt idx="11">
                  <c:v>1.6</c:v>
                </c:pt>
                <c:pt idx="12">
                  <c:v>1.7</c:v>
                </c:pt>
                <c:pt idx="13">
                  <c:v>1.8</c:v>
                </c:pt>
                <c:pt idx="14">
                  <c:v>1.9</c:v>
                </c:pt>
                <c:pt idx="15">
                  <c:v>2</c:v>
                </c:pt>
                <c:pt idx="16">
                  <c:v>2.2000000000000002</c:v>
                </c:pt>
                <c:pt idx="17">
                  <c:v>2.4</c:v>
                </c:pt>
                <c:pt idx="18">
                  <c:v>2.6</c:v>
                </c:pt>
                <c:pt idx="19">
                  <c:v>2.8</c:v>
                </c:pt>
                <c:pt idx="20">
                  <c:v>3</c:v>
                </c:pt>
                <c:pt idx="21">
                  <c:v>3.2</c:v>
                </c:pt>
                <c:pt idx="22">
                  <c:v>3.4097535070711671</c:v>
                </c:pt>
                <c:pt idx="23">
                  <c:v>3.6</c:v>
                </c:pt>
                <c:pt idx="24">
                  <c:v>3.8</c:v>
                </c:pt>
                <c:pt idx="25">
                  <c:v>4</c:v>
                </c:pt>
              </c:numCache>
            </c:numRef>
          </c:xVal>
          <c:yVal>
            <c:numRef>
              <c:f>'DEA 20%'!$C$12:$AL$12</c:f>
              <c:numCache>
                <c:formatCode>0.00</c:formatCode>
                <c:ptCount val="36"/>
                <c:pt idx="0">
                  <c:v>16.91201203649748</c:v>
                </c:pt>
                <c:pt idx="1">
                  <c:v>20.138716943080716</c:v>
                </c:pt>
                <c:pt idx="2">
                  <c:v>23.287737668586889</c:v>
                </c:pt>
                <c:pt idx="3">
                  <c:v>26.361368209054852</c:v>
                </c:pt>
                <c:pt idx="4">
                  <c:v>29.362089571070111</c:v>
                </c:pt>
                <c:pt idx="5">
                  <c:v>32.295836222646287</c:v>
                </c:pt>
                <c:pt idx="6">
                  <c:v>35.165949418883422</c:v>
                </c:pt>
                <c:pt idx="7">
                  <c:v>37.977067021338399</c:v>
                </c:pt>
                <c:pt idx="8">
                  <c:v>40.7330539146419</c:v>
                </c:pt>
                <c:pt idx="9">
                  <c:v>43.436640452774981</c:v>
                </c:pt>
                <c:pt idx="10">
                  <c:v>46.091030749770162</c:v>
                </c:pt>
                <c:pt idx="11">
                  <c:v>48.702558229473908</c:v>
                </c:pt>
                <c:pt idx="12">
                  <c:v>51.269427590638408</c:v>
                </c:pt>
                <c:pt idx="13">
                  <c:v>53.796214357971607</c:v>
                </c:pt>
                <c:pt idx="14">
                  <c:v>56.285798493891861</c:v>
                </c:pt>
                <c:pt idx="15">
                  <c:v>58.73689585931222</c:v>
                </c:pt>
                <c:pt idx="16">
                  <c:v>63.541583291131289</c:v>
                </c:pt>
                <c:pt idx="17">
                  <c:v>68.217507727899161</c:v>
                </c:pt>
                <c:pt idx="18">
                  <c:v>72.773770349552635</c:v>
                </c:pt>
                <c:pt idx="19">
                  <c:v>77.219572074986729</c:v>
                </c:pt>
                <c:pt idx="20">
                  <c:v>81.546422625383713</c:v>
                </c:pt>
                <c:pt idx="21">
                  <c:v>85.749671671816927</c:v>
                </c:pt>
                <c:pt idx="22">
                  <c:v>90.002802664725749</c:v>
                </c:pt>
                <c:pt idx="23">
                  <c:v>93.664303352051846</c:v>
                </c:pt>
                <c:pt idx="24">
                  <c:v>97.154925022484903</c:v>
                </c:pt>
                <c:pt idx="25">
                  <c:v>99.637455369933036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125D-4619-B47D-127A67AF8C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594704"/>
        <c:axId val="488591960"/>
      </c:scatterChart>
      <c:valAx>
        <c:axId val="488594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L/G,</a:t>
                </a:r>
                <a:r>
                  <a:rPr lang="en-US" baseline="0"/>
                  <a:t> [kg_solvent chimic/kg_gaze de ardere]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488591960"/>
        <c:crosses val="autoZero"/>
        <c:crossBetween val="midCat"/>
      </c:valAx>
      <c:valAx>
        <c:axId val="488591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Eficien</a:t>
                </a:r>
                <a:r>
                  <a:rPr lang="ro-RO"/>
                  <a:t>ța</a:t>
                </a:r>
                <a:r>
                  <a:rPr lang="ro-RO" baseline="0"/>
                  <a:t> de captare, [%]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488594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o-R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'MDEA 20%'!$C$8:$AE$8</c:f>
              <c:numCache>
                <c:formatCode>General</c:formatCode>
                <c:ptCount val="29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2.5</c:v>
                </c:pt>
                <c:pt idx="12">
                  <c:v>3</c:v>
                </c:pt>
                <c:pt idx="13">
                  <c:v>3.5</c:v>
                </c:pt>
                <c:pt idx="14">
                  <c:v>4</c:v>
                </c:pt>
                <c:pt idx="15">
                  <c:v>4.5</c:v>
                </c:pt>
                <c:pt idx="16">
                  <c:v>5</c:v>
                </c:pt>
                <c:pt idx="17">
                  <c:v>5.5</c:v>
                </c:pt>
                <c:pt idx="18">
                  <c:v>6</c:v>
                </c:pt>
                <c:pt idx="19">
                  <c:v>6.4748000000000001</c:v>
                </c:pt>
                <c:pt idx="20">
                  <c:v>7</c:v>
                </c:pt>
                <c:pt idx="21">
                  <c:v>7.5</c:v>
                </c:pt>
              </c:numCache>
            </c:numRef>
          </c:xVal>
          <c:yVal>
            <c:numRef>
              <c:f>'MDEA 20%'!$C$19:$AE$19</c:f>
              <c:numCache>
                <c:formatCode>General</c:formatCode>
                <c:ptCount val="29"/>
                <c:pt idx="0">
                  <c:v>373.79500000000002</c:v>
                </c:pt>
                <c:pt idx="1">
                  <c:v>451.40100000000001</c:v>
                </c:pt>
                <c:pt idx="2">
                  <c:v>529.49699999999996</c:v>
                </c:pt>
                <c:pt idx="3">
                  <c:v>608.00599999999997</c:v>
                </c:pt>
                <c:pt idx="4">
                  <c:v>686.93700000000001</c:v>
                </c:pt>
                <c:pt idx="5">
                  <c:v>766.125</c:v>
                </c:pt>
                <c:pt idx="6">
                  <c:v>925.48800000000006</c:v>
                </c:pt>
                <c:pt idx="7">
                  <c:v>1085.6099999999999</c:v>
                </c:pt>
                <c:pt idx="8">
                  <c:v>1246.46</c:v>
                </c:pt>
                <c:pt idx="9">
                  <c:v>1407.39</c:v>
                </c:pt>
                <c:pt idx="10">
                  <c:v>1567.03</c:v>
                </c:pt>
                <c:pt idx="11">
                  <c:v>1942.64</c:v>
                </c:pt>
                <c:pt idx="12">
                  <c:v>2303.29</c:v>
                </c:pt>
                <c:pt idx="13">
                  <c:v>2663.44</c:v>
                </c:pt>
                <c:pt idx="14">
                  <c:v>3022.28</c:v>
                </c:pt>
                <c:pt idx="15">
                  <c:v>3380.51</c:v>
                </c:pt>
                <c:pt idx="16">
                  <c:v>3738.49</c:v>
                </c:pt>
                <c:pt idx="17">
                  <c:v>4095.21</c:v>
                </c:pt>
                <c:pt idx="18">
                  <c:v>4451</c:v>
                </c:pt>
                <c:pt idx="19">
                  <c:v>4784.54</c:v>
                </c:pt>
                <c:pt idx="20">
                  <c:v>5155.75</c:v>
                </c:pt>
                <c:pt idx="21">
                  <c:v>5492.22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76DD-41CD-BB9C-DB6336B0C5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600584"/>
        <c:axId val="488603328"/>
      </c:scatterChart>
      <c:valAx>
        <c:axId val="488600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L/G, [kg_solvent chimic/kg_gaze de ardere]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488603328"/>
        <c:crosses val="autoZero"/>
        <c:crossBetween val="midCat"/>
      </c:valAx>
      <c:valAx>
        <c:axId val="488603328"/>
        <c:scaling>
          <c:orientation val="minMax"/>
          <c:min val="4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o-RO"/>
                  <a:t>Consumul</a:t>
                </a:r>
                <a:r>
                  <a:rPr lang="ro-RO" baseline="0"/>
                  <a:t> specific de energie termică, [GJ/tCO2Î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2.5867136978248089E-2"/>
              <c:y val="5.14619883040935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488600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o-R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'DEA 30%'!$C$8:$AL$8</c:f>
              <c:numCache>
                <c:formatCode>General</c:formatCode>
                <c:ptCount val="36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  <c:pt idx="6">
                  <c:v>1.1000000000000001</c:v>
                </c:pt>
                <c:pt idx="7">
                  <c:v>1.2</c:v>
                </c:pt>
                <c:pt idx="8">
                  <c:v>1.3</c:v>
                </c:pt>
                <c:pt idx="9">
                  <c:v>1.4</c:v>
                </c:pt>
                <c:pt idx="10">
                  <c:v>1.5</c:v>
                </c:pt>
                <c:pt idx="11">
                  <c:v>1.6</c:v>
                </c:pt>
                <c:pt idx="12">
                  <c:v>1.7</c:v>
                </c:pt>
                <c:pt idx="13">
                  <c:v>1.8</c:v>
                </c:pt>
                <c:pt idx="14">
                  <c:v>1.9</c:v>
                </c:pt>
                <c:pt idx="15">
                  <c:v>2</c:v>
                </c:pt>
                <c:pt idx="16">
                  <c:v>2.1</c:v>
                </c:pt>
                <c:pt idx="17">
                  <c:v>2.2000000000000002</c:v>
                </c:pt>
                <c:pt idx="18">
                  <c:v>2.2999999999999998</c:v>
                </c:pt>
                <c:pt idx="19">
                  <c:v>2.3580000000000001</c:v>
                </c:pt>
                <c:pt idx="20">
                  <c:v>2.5</c:v>
                </c:pt>
                <c:pt idx="21">
                  <c:v>2.6</c:v>
                </c:pt>
                <c:pt idx="22">
                  <c:v>2.7</c:v>
                </c:pt>
                <c:pt idx="23">
                  <c:v>2.8</c:v>
                </c:pt>
                <c:pt idx="24">
                  <c:v>2.9</c:v>
                </c:pt>
              </c:numCache>
            </c:numRef>
          </c:xVal>
          <c:yVal>
            <c:numRef>
              <c:f>'DEA 30%'!$C$19:$AL$19</c:f>
              <c:numCache>
                <c:formatCode>General</c:formatCode>
                <c:ptCount val="36"/>
                <c:pt idx="0">
                  <c:v>594.48400000000004</c:v>
                </c:pt>
                <c:pt idx="1">
                  <c:v>716.21699999999998</c:v>
                </c:pt>
                <c:pt idx="2">
                  <c:v>838.41399999999999</c:v>
                </c:pt>
                <c:pt idx="3">
                  <c:v>961.19799999999998</c:v>
                </c:pt>
                <c:pt idx="4">
                  <c:v>1084.44</c:v>
                </c:pt>
                <c:pt idx="5">
                  <c:v>1208.1600000000001</c:v>
                </c:pt>
                <c:pt idx="6">
                  <c:v>1332.27</c:v>
                </c:pt>
                <c:pt idx="7">
                  <c:v>1456.84</c:v>
                </c:pt>
                <c:pt idx="8">
                  <c:v>1581.75</c:v>
                </c:pt>
                <c:pt idx="9">
                  <c:v>1706.95</c:v>
                </c:pt>
                <c:pt idx="10">
                  <c:v>1832.35</c:v>
                </c:pt>
                <c:pt idx="11">
                  <c:v>1957.91</c:v>
                </c:pt>
                <c:pt idx="12">
                  <c:v>2082.87</c:v>
                </c:pt>
                <c:pt idx="13">
                  <c:v>2204.6999999999998</c:v>
                </c:pt>
                <c:pt idx="14">
                  <c:v>2322.8000000000002</c:v>
                </c:pt>
                <c:pt idx="15">
                  <c:v>2438.31</c:v>
                </c:pt>
                <c:pt idx="16">
                  <c:v>2552.58</c:v>
                </c:pt>
                <c:pt idx="17">
                  <c:v>2665.72</c:v>
                </c:pt>
                <c:pt idx="18">
                  <c:v>2777.8</c:v>
                </c:pt>
                <c:pt idx="19">
                  <c:v>2842.2</c:v>
                </c:pt>
                <c:pt idx="20">
                  <c:v>2997.84</c:v>
                </c:pt>
                <c:pt idx="21">
                  <c:v>3105.02</c:v>
                </c:pt>
                <c:pt idx="22">
                  <c:v>3208.5</c:v>
                </c:pt>
                <c:pt idx="23">
                  <c:v>3305.04</c:v>
                </c:pt>
                <c:pt idx="24">
                  <c:v>3390.79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76DD-41CD-BB9C-DB6336B0C5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1345616"/>
        <c:axId val="461349144"/>
      </c:scatterChart>
      <c:valAx>
        <c:axId val="461345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L/G, [kg_solvent chimic/kg_gaze de ardere]</a:t>
                </a:r>
                <a:endParaRPr lang="en-US" sz="10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461349144"/>
        <c:crosses val="autoZero"/>
        <c:crossBetween val="midCat"/>
      </c:valAx>
      <c:valAx>
        <c:axId val="461349144"/>
        <c:scaling>
          <c:orientation val="minMax"/>
          <c:min val="4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o-RO"/>
                  <a:t>Consumul</a:t>
                </a:r>
                <a:r>
                  <a:rPr lang="ro-RO" baseline="0"/>
                  <a:t> specific de energie termică, [GJ/tCO2Î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2.5867136978248089E-2"/>
              <c:y val="5.14619883040935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461345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  <c:userShapes r:id="rId3"/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o-R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280314960629922"/>
          <c:y val="5.2256532066508314E-2"/>
          <c:w val="0.76893307086614171"/>
          <c:h val="0.73680139151252177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'MDEA 20%'!$C$8:$AE$8</c:f>
              <c:numCache>
                <c:formatCode>General</c:formatCode>
                <c:ptCount val="29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2.5</c:v>
                </c:pt>
                <c:pt idx="12">
                  <c:v>3</c:v>
                </c:pt>
                <c:pt idx="13">
                  <c:v>3.5</c:v>
                </c:pt>
                <c:pt idx="14">
                  <c:v>4</c:v>
                </c:pt>
                <c:pt idx="15">
                  <c:v>4.5</c:v>
                </c:pt>
                <c:pt idx="16">
                  <c:v>5</c:v>
                </c:pt>
                <c:pt idx="17">
                  <c:v>5.5</c:v>
                </c:pt>
                <c:pt idx="18">
                  <c:v>6</c:v>
                </c:pt>
                <c:pt idx="19">
                  <c:v>6.4748000000000001</c:v>
                </c:pt>
                <c:pt idx="20">
                  <c:v>7</c:v>
                </c:pt>
                <c:pt idx="21">
                  <c:v>7.5</c:v>
                </c:pt>
              </c:numCache>
            </c:numRef>
          </c:xVal>
          <c:yVal>
            <c:numRef>
              <c:f>'MDEA 20%'!$C$16:$AE$16</c:f>
              <c:numCache>
                <c:formatCode>General</c:formatCode>
                <c:ptCount val="29"/>
                <c:pt idx="0">
                  <c:v>0.56031335991464037</c:v>
                </c:pt>
                <c:pt idx="1">
                  <c:v>0.548305495004202</c:v>
                </c:pt>
                <c:pt idx="2">
                  <c:v>0.53548583473938449</c:v>
                </c:pt>
                <c:pt idx="3">
                  <c:v>0.52267437341954814</c:v>
                </c:pt>
                <c:pt idx="4">
                  <c:v>0.51003827224839893</c:v>
                </c:pt>
                <c:pt idx="5">
                  <c:v>0.4979064111329306</c:v>
                </c:pt>
                <c:pt idx="6">
                  <c:v>0.47550981483265725</c:v>
                </c:pt>
                <c:pt idx="7">
                  <c:v>0.45557734410419853</c:v>
                </c:pt>
                <c:pt idx="8">
                  <c:v>0.43815063169987511</c:v>
                </c:pt>
                <c:pt idx="9">
                  <c:v>0.4228206333195037</c:v>
                </c:pt>
                <c:pt idx="10">
                  <c:v>0.40937104773859861</c:v>
                </c:pt>
                <c:pt idx="11">
                  <c:v>0.38219278023826769</c:v>
                </c:pt>
                <c:pt idx="12">
                  <c:v>0.36195792849078262</c:v>
                </c:pt>
                <c:pt idx="13">
                  <c:v>0.34650317510130019</c:v>
                </c:pt>
                <c:pt idx="14">
                  <c:v>0.33442176862722656</c:v>
                </c:pt>
                <c:pt idx="15">
                  <c:v>0.32473151769742953</c:v>
                </c:pt>
                <c:pt idx="16">
                  <c:v>0.31678632641581378</c:v>
                </c:pt>
                <c:pt idx="17">
                  <c:v>0.31004741583180412</c:v>
                </c:pt>
                <c:pt idx="18">
                  <c:v>0.30412781720264981</c:v>
                </c:pt>
                <c:pt idx="19">
                  <c:v>0.29892710224314945</c:v>
                </c:pt>
                <c:pt idx="20">
                  <c:v>0.29304530286176561</c:v>
                </c:pt>
                <c:pt idx="21">
                  <c:v>0.28508332727722896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913E-42E4-98C7-375C138D41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594312"/>
        <c:axId val="488597056"/>
      </c:scatterChart>
      <c:valAx>
        <c:axId val="488594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L/G, [kg_solvent chimic/kg_gaze de ardere]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488597056"/>
        <c:crosses val="autoZero"/>
        <c:crossBetween val="midCat"/>
      </c:valAx>
      <c:valAx>
        <c:axId val="48859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Grad </a:t>
                </a:r>
                <a:r>
                  <a:rPr lang="ro-RO" baseline="0"/>
                  <a:t>încărcare solvent bogat în CO</a:t>
                </a:r>
                <a:r>
                  <a:rPr lang="ro-RO" baseline="-25000"/>
                  <a:t>2</a:t>
                </a:r>
                <a:r>
                  <a:rPr lang="ro-RO" baseline="0"/>
                  <a:t>, [molCO2/molamină]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488594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  <c:userShapes r:id="rId3"/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o-R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'MDEA 20%'!$C$8:$AE$8</c:f>
              <c:numCache>
                <c:formatCode>General</c:formatCode>
                <c:ptCount val="29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2.5</c:v>
                </c:pt>
                <c:pt idx="12">
                  <c:v>3</c:v>
                </c:pt>
                <c:pt idx="13">
                  <c:v>3.5</c:v>
                </c:pt>
                <c:pt idx="14">
                  <c:v>4</c:v>
                </c:pt>
                <c:pt idx="15">
                  <c:v>4.5</c:v>
                </c:pt>
                <c:pt idx="16">
                  <c:v>5</c:v>
                </c:pt>
                <c:pt idx="17">
                  <c:v>5.5</c:v>
                </c:pt>
                <c:pt idx="18">
                  <c:v>6</c:v>
                </c:pt>
                <c:pt idx="19">
                  <c:v>6.4748000000000001</c:v>
                </c:pt>
                <c:pt idx="20">
                  <c:v>7</c:v>
                </c:pt>
                <c:pt idx="21">
                  <c:v>7.5</c:v>
                </c:pt>
              </c:numCache>
            </c:numRef>
          </c:xVal>
          <c:yVal>
            <c:numRef>
              <c:f>'MDEA 20%'!$C$12:$AE$12</c:f>
              <c:numCache>
                <c:formatCode>General</c:formatCode>
                <c:ptCount val="29"/>
                <c:pt idx="0">
                  <c:v>13.02941127334484</c:v>
                </c:pt>
                <c:pt idx="1">
                  <c:v>15.300205537058131</c:v>
                </c:pt>
                <c:pt idx="2">
                  <c:v>17.432886278387883</c:v>
                </c:pt>
                <c:pt idx="3">
                  <c:v>19.446628312050283</c:v>
                </c:pt>
                <c:pt idx="4">
                  <c:v>21.348538038817896</c:v>
                </c:pt>
                <c:pt idx="5">
                  <c:v>23.15639392799196</c:v>
                </c:pt>
                <c:pt idx="6">
                  <c:v>26.537731621912545</c:v>
                </c:pt>
                <c:pt idx="7">
                  <c:v>29.662914736406144</c:v>
                </c:pt>
                <c:pt idx="8">
                  <c:v>32.603755321385101</c:v>
                </c:pt>
                <c:pt idx="9">
                  <c:v>35.395934989149644</c:v>
                </c:pt>
                <c:pt idx="10">
                  <c:v>38.077840771241462</c:v>
                </c:pt>
                <c:pt idx="11">
                  <c:v>44.437421159470375</c:v>
                </c:pt>
                <c:pt idx="12">
                  <c:v>50.501799166132443</c:v>
                </c:pt>
                <c:pt idx="13">
                  <c:v>56.403166312967393</c:v>
                </c:pt>
                <c:pt idx="14">
                  <c:v>62.213347117257356</c:v>
                </c:pt>
                <c:pt idx="15">
                  <c:v>67.962076255919186</c:v>
                </c:pt>
                <c:pt idx="16">
                  <c:v>73.665947798125359</c:v>
                </c:pt>
                <c:pt idx="17">
                  <c:v>79.308804032645554</c:v>
                </c:pt>
                <c:pt idx="18">
                  <c:v>84.86689462005566</c:v>
                </c:pt>
                <c:pt idx="19">
                  <c:v>90.016681340760883</c:v>
                </c:pt>
                <c:pt idx="20">
                  <c:v>95.403550058609113</c:v>
                </c:pt>
                <c:pt idx="21">
                  <c:v>99.440988572658213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125D-4619-B47D-127A67AF8C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598624"/>
        <c:axId val="488601368"/>
      </c:scatterChart>
      <c:valAx>
        <c:axId val="488598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L/G,</a:t>
                </a:r>
                <a:r>
                  <a:rPr lang="en-US" baseline="0"/>
                  <a:t> [kg_solvent chimic/kg_gaze de ardere]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488601368"/>
        <c:crosses val="autoZero"/>
        <c:crossBetween val="midCat"/>
      </c:valAx>
      <c:valAx>
        <c:axId val="488601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Eficien</a:t>
                </a:r>
                <a:r>
                  <a:rPr lang="ro-RO"/>
                  <a:t>ța</a:t>
                </a:r>
                <a:r>
                  <a:rPr lang="ro-RO" baseline="0"/>
                  <a:t> de captare, [%]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488598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o-R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'MEA 10%'!$C$8:$AB$8</c:f>
              <c:numCache>
                <c:formatCode>General</c:formatCode>
                <c:ptCount val="26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  <c:pt idx="6">
                  <c:v>1.1000000000000001</c:v>
                </c:pt>
                <c:pt idx="7">
                  <c:v>1.2</c:v>
                </c:pt>
                <c:pt idx="8">
                  <c:v>1.3</c:v>
                </c:pt>
                <c:pt idx="9">
                  <c:v>1.4</c:v>
                </c:pt>
                <c:pt idx="10">
                  <c:v>1.5</c:v>
                </c:pt>
                <c:pt idx="11">
                  <c:v>1.6</c:v>
                </c:pt>
                <c:pt idx="12">
                  <c:v>1.7</c:v>
                </c:pt>
                <c:pt idx="13">
                  <c:v>1.8</c:v>
                </c:pt>
                <c:pt idx="14">
                  <c:v>1.9</c:v>
                </c:pt>
                <c:pt idx="15">
                  <c:v>2</c:v>
                </c:pt>
                <c:pt idx="16">
                  <c:v>2.2000000000000002</c:v>
                </c:pt>
                <c:pt idx="17">
                  <c:v>2.4</c:v>
                </c:pt>
                <c:pt idx="18">
                  <c:v>2.6</c:v>
                </c:pt>
                <c:pt idx="19">
                  <c:v>2.8</c:v>
                </c:pt>
                <c:pt idx="20">
                  <c:v>3</c:v>
                </c:pt>
                <c:pt idx="21">
                  <c:v>3.2</c:v>
                </c:pt>
                <c:pt idx="22">
                  <c:v>3.3889114615014191</c:v>
                </c:pt>
                <c:pt idx="23">
                  <c:v>3.6</c:v>
                </c:pt>
                <c:pt idx="24">
                  <c:v>3.8</c:v>
                </c:pt>
                <c:pt idx="25">
                  <c:v>4</c:v>
                </c:pt>
              </c:numCache>
            </c:numRef>
          </c:xVal>
          <c:yVal>
            <c:numRef>
              <c:f>'MEA 10%'!$C$12:$AB$12</c:f>
              <c:numCache>
                <c:formatCode>0.00</c:formatCode>
                <c:ptCount val="26"/>
                <c:pt idx="0">
                  <c:v>14.719088964407897</c:v>
                </c:pt>
                <c:pt idx="1">
                  <c:v>17.611793034679984</c:v>
                </c:pt>
                <c:pt idx="2">
                  <c:v>20.474762428035227</c:v>
                </c:pt>
                <c:pt idx="3">
                  <c:v>23.308520774004236</c:v>
                </c:pt>
                <c:pt idx="4">
                  <c:v>26.113741310554943</c:v>
                </c:pt>
                <c:pt idx="5">
                  <c:v>28.892356480002707</c:v>
                </c:pt>
                <c:pt idx="6">
                  <c:v>31.645076922424792</c:v>
                </c:pt>
                <c:pt idx="7">
                  <c:v>34.375281295030582</c:v>
                </c:pt>
                <c:pt idx="8">
                  <c:v>37.082408566180163</c:v>
                </c:pt>
                <c:pt idx="9">
                  <c:v>39.768154298163125</c:v>
                </c:pt>
                <c:pt idx="10">
                  <c:v>42.435011964934773</c:v>
                </c:pt>
                <c:pt idx="11">
                  <c:v>45.083629869723467</c:v>
                </c:pt>
                <c:pt idx="12">
                  <c:v>47.715179945288199</c:v>
                </c:pt>
                <c:pt idx="13">
                  <c:v>50.32816610725579</c:v>
                </c:pt>
                <c:pt idx="14">
                  <c:v>52.927400760359944</c:v>
                </c:pt>
                <c:pt idx="15">
                  <c:v>55.509654855828586</c:v>
                </c:pt>
                <c:pt idx="16">
                  <c:v>60.632709042259151</c:v>
                </c:pt>
                <c:pt idx="17">
                  <c:v>65.702290679718502</c:v>
                </c:pt>
                <c:pt idx="18">
                  <c:v>70.726391352233378</c:v>
                </c:pt>
                <c:pt idx="19">
                  <c:v>75.696022086194901</c:v>
                </c:pt>
                <c:pt idx="20">
                  <c:v>80.614773484098748</c:v>
                </c:pt>
                <c:pt idx="21">
                  <c:v>85.476711077931284</c:v>
                </c:pt>
                <c:pt idx="22">
                  <c:v>90.002948532952132</c:v>
                </c:pt>
                <c:pt idx="23">
                  <c:v>94.93890864135841</c:v>
                </c:pt>
                <c:pt idx="24">
                  <c:v>99.172673570098652</c:v>
                </c:pt>
                <c:pt idx="25">
                  <c:v>99.999999904441168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125D-4619-B47D-127A67AF8C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599016"/>
        <c:axId val="488591568"/>
      </c:scatterChart>
      <c:valAx>
        <c:axId val="488599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L/G,</a:t>
                </a:r>
                <a:r>
                  <a:rPr lang="en-US" baseline="0"/>
                  <a:t> [kg_solvent chimic/kg_gaze de ardere]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488591568"/>
        <c:crosses val="autoZero"/>
        <c:crossBetween val="midCat"/>
      </c:valAx>
      <c:valAx>
        <c:axId val="48859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Eficien</a:t>
                </a:r>
                <a:r>
                  <a:rPr lang="ro-RO"/>
                  <a:t>ța</a:t>
                </a:r>
                <a:r>
                  <a:rPr lang="ro-RO" baseline="0"/>
                  <a:t> de captare, [%]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488599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o-R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280314960629922"/>
          <c:y val="5.2256532066508314E-2"/>
          <c:w val="0.76893307086614171"/>
          <c:h val="0.73680139151252177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'MEA 10%'!$C$8:$AB$8</c:f>
              <c:numCache>
                <c:formatCode>General</c:formatCode>
                <c:ptCount val="26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  <c:pt idx="6">
                  <c:v>1.1000000000000001</c:v>
                </c:pt>
                <c:pt idx="7">
                  <c:v>1.2</c:v>
                </c:pt>
                <c:pt idx="8">
                  <c:v>1.3</c:v>
                </c:pt>
                <c:pt idx="9">
                  <c:v>1.4</c:v>
                </c:pt>
                <c:pt idx="10">
                  <c:v>1.5</c:v>
                </c:pt>
                <c:pt idx="11">
                  <c:v>1.6</c:v>
                </c:pt>
                <c:pt idx="12">
                  <c:v>1.7</c:v>
                </c:pt>
                <c:pt idx="13">
                  <c:v>1.8</c:v>
                </c:pt>
                <c:pt idx="14">
                  <c:v>1.9</c:v>
                </c:pt>
                <c:pt idx="15">
                  <c:v>2</c:v>
                </c:pt>
                <c:pt idx="16">
                  <c:v>2.2000000000000002</c:v>
                </c:pt>
                <c:pt idx="17">
                  <c:v>2.4</c:v>
                </c:pt>
                <c:pt idx="18">
                  <c:v>2.6</c:v>
                </c:pt>
                <c:pt idx="19">
                  <c:v>2.8</c:v>
                </c:pt>
                <c:pt idx="20">
                  <c:v>3</c:v>
                </c:pt>
                <c:pt idx="21">
                  <c:v>3.2</c:v>
                </c:pt>
                <c:pt idx="22">
                  <c:v>3.3889114615014191</c:v>
                </c:pt>
                <c:pt idx="23">
                  <c:v>3.6</c:v>
                </c:pt>
                <c:pt idx="24">
                  <c:v>3.8</c:v>
                </c:pt>
                <c:pt idx="25">
                  <c:v>4</c:v>
                </c:pt>
              </c:numCache>
            </c:numRef>
          </c:xVal>
          <c:yVal>
            <c:numRef>
              <c:f>'MEA 10%'!$C$16:$AB$16</c:f>
              <c:numCache>
                <c:formatCode>General</c:formatCode>
                <c:ptCount val="26"/>
                <c:pt idx="0">
                  <c:v>0.64896471641285547</c:v>
                </c:pt>
                <c:pt idx="1">
                  <c:v>0.6470930243106956</c:v>
                </c:pt>
                <c:pt idx="2">
                  <c:v>0.64482248796783403</c:v>
                </c:pt>
                <c:pt idx="3">
                  <c:v>0.64231507041736025</c:v>
                </c:pt>
                <c:pt idx="4">
                  <c:v>0.6396666898736848</c:v>
                </c:pt>
                <c:pt idx="5">
                  <c:v>0.63696225517905181</c:v>
                </c:pt>
                <c:pt idx="6">
                  <c:v>0.63423072198671304</c:v>
                </c:pt>
                <c:pt idx="7">
                  <c:v>0.63154142140405356</c:v>
                </c:pt>
                <c:pt idx="8">
                  <c:v>0.62887484227804469</c:v>
                </c:pt>
                <c:pt idx="9">
                  <c:v>0.62625242258737079</c:v>
                </c:pt>
                <c:pt idx="10">
                  <c:v>0.62370271863560967</c:v>
                </c:pt>
                <c:pt idx="11">
                  <c:v>0.6212200139567553</c:v>
                </c:pt>
                <c:pt idx="12">
                  <c:v>0.61880821195502511</c:v>
                </c:pt>
                <c:pt idx="13">
                  <c:v>0.61643729468754871</c:v>
                </c:pt>
                <c:pt idx="14">
                  <c:v>0.6141565672482785</c:v>
                </c:pt>
                <c:pt idx="15">
                  <c:v>0.61191694394157603</c:v>
                </c:pt>
                <c:pt idx="16">
                  <c:v>0.60763308660630178</c:v>
                </c:pt>
                <c:pt idx="17">
                  <c:v>0.60357342857906138</c:v>
                </c:pt>
                <c:pt idx="18">
                  <c:v>0.59975265571732395</c:v>
                </c:pt>
                <c:pt idx="19">
                  <c:v>0.59605086812291375</c:v>
                </c:pt>
                <c:pt idx="20">
                  <c:v>0.59247052618165452</c:v>
                </c:pt>
                <c:pt idx="21">
                  <c:v>0.58894964252890902</c:v>
                </c:pt>
                <c:pt idx="22">
                  <c:v>0.58557969043289271</c:v>
                </c:pt>
                <c:pt idx="23">
                  <c:v>0.58150176656475827</c:v>
                </c:pt>
                <c:pt idx="24">
                  <c:v>0.57553918348462296</c:v>
                </c:pt>
                <c:pt idx="25">
                  <c:v>0.55130896577425959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913E-42E4-98C7-375C138D41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599408"/>
        <c:axId val="488592744"/>
      </c:scatterChart>
      <c:valAx>
        <c:axId val="488599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L/G, [kg_solvent chimic/kg_gaze de ardere]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488592744"/>
        <c:crosses val="autoZero"/>
        <c:crossBetween val="midCat"/>
      </c:valAx>
      <c:valAx>
        <c:axId val="488592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Grad </a:t>
                </a:r>
                <a:r>
                  <a:rPr lang="ro-RO" baseline="0"/>
                  <a:t>încărcare solvent bogat în CO</a:t>
                </a:r>
                <a:r>
                  <a:rPr lang="ro-RO" baseline="-25000"/>
                  <a:t>2</a:t>
                </a:r>
                <a:r>
                  <a:rPr lang="ro-RO" baseline="0"/>
                  <a:t>, [molCO2/molamină]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488599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  <c:userShapes r:id="rId3"/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o-R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'MEA 10%'!$C$8:$AB$8</c:f>
              <c:numCache>
                <c:formatCode>General</c:formatCode>
                <c:ptCount val="26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  <c:pt idx="6">
                  <c:v>1.1000000000000001</c:v>
                </c:pt>
                <c:pt idx="7">
                  <c:v>1.2</c:v>
                </c:pt>
                <c:pt idx="8">
                  <c:v>1.3</c:v>
                </c:pt>
                <c:pt idx="9">
                  <c:v>1.4</c:v>
                </c:pt>
                <c:pt idx="10">
                  <c:v>1.5</c:v>
                </c:pt>
                <c:pt idx="11">
                  <c:v>1.6</c:v>
                </c:pt>
                <c:pt idx="12">
                  <c:v>1.7</c:v>
                </c:pt>
                <c:pt idx="13">
                  <c:v>1.8</c:v>
                </c:pt>
                <c:pt idx="14">
                  <c:v>1.9</c:v>
                </c:pt>
                <c:pt idx="15">
                  <c:v>2</c:v>
                </c:pt>
                <c:pt idx="16">
                  <c:v>2.2000000000000002</c:v>
                </c:pt>
                <c:pt idx="17">
                  <c:v>2.4</c:v>
                </c:pt>
                <c:pt idx="18">
                  <c:v>2.6</c:v>
                </c:pt>
                <c:pt idx="19">
                  <c:v>2.8</c:v>
                </c:pt>
                <c:pt idx="20">
                  <c:v>3</c:v>
                </c:pt>
                <c:pt idx="21">
                  <c:v>3.2</c:v>
                </c:pt>
                <c:pt idx="22">
                  <c:v>3.3889114615014191</c:v>
                </c:pt>
                <c:pt idx="23">
                  <c:v>3.6</c:v>
                </c:pt>
                <c:pt idx="24">
                  <c:v>3.8</c:v>
                </c:pt>
                <c:pt idx="25">
                  <c:v>4</c:v>
                </c:pt>
              </c:numCache>
            </c:numRef>
          </c:xVal>
          <c:yVal>
            <c:numRef>
              <c:f>'MEA 10%'!$C$19:$AB$19</c:f>
              <c:numCache>
                <c:formatCode>General</c:formatCode>
                <c:ptCount val="26"/>
                <c:pt idx="0">
                  <c:v>690.82799999999997</c:v>
                </c:pt>
                <c:pt idx="1">
                  <c:v>831.70399999999995</c:v>
                </c:pt>
                <c:pt idx="2">
                  <c:v>972.9</c:v>
                </c:pt>
                <c:pt idx="3">
                  <c:v>1114.3399999999999</c:v>
                </c:pt>
                <c:pt idx="4">
                  <c:v>1255.9100000000001</c:v>
                </c:pt>
                <c:pt idx="5">
                  <c:v>1397.46</c:v>
                </c:pt>
                <c:pt idx="6">
                  <c:v>1538.84</c:v>
                </c:pt>
                <c:pt idx="7">
                  <c:v>1680.01</c:v>
                </c:pt>
                <c:pt idx="8">
                  <c:v>1820.99</c:v>
                </c:pt>
                <c:pt idx="9">
                  <c:v>1961.82</c:v>
                </c:pt>
                <c:pt idx="10">
                  <c:v>2102.6</c:v>
                </c:pt>
                <c:pt idx="11">
                  <c:v>2243.19</c:v>
                </c:pt>
                <c:pt idx="12">
                  <c:v>2383.7600000000002</c:v>
                </c:pt>
                <c:pt idx="13">
                  <c:v>2524.2199999999998</c:v>
                </c:pt>
                <c:pt idx="14">
                  <c:v>2664.69</c:v>
                </c:pt>
                <c:pt idx="15">
                  <c:v>2805.01</c:v>
                </c:pt>
                <c:pt idx="16">
                  <c:v>3085.54</c:v>
                </c:pt>
                <c:pt idx="17">
                  <c:v>3365.93</c:v>
                </c:pt>
                <c:pt idx="18">
                  <c:v>3646.03</c:v>
                </c:pt>
                <c:pt idx="19">
                  <c:v>3926.04</c:v>
                </c:pt>
                <c:pt idx="20">
                  <c:v>4205.6899999999996</c:v>
                </c:pt>
                <c:pt idx="21">
                  <c:v>4485.12</c:v>
                </c:pt>
                <c:pt idx="22">
                  <c:v>4748.8</c:v>
                </c:pt>
                <c:pt idx="23">
                  <c:v>5042.9799999999996</c:v>
                </c:pt>
                <c:pt idx="24">
                  <c:v>5320.03</c:v>
                </c:pt>
                <c:pt idx="25">
                  <c:v>5578.65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76DD-41CD-BB9C-DB6336B0C5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593528"/>
        <c:axId val="488601760"/>
      </c:scatterChart>
      <c:valAx>
        <c:axId val="488593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L/G, [kg_solvent chimic/kg_gaze de ardere]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488601760"/>
        <c:crosses val="autoZero"/>
        <c:crossBetween val="midCat"/>
      </c:valAx>
      <c:valAx>
        <c:axId val="488601760"/>
        <c:scaling>
          <c:orientation val="minMax"/>
          <c:min val="4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o-RO"/>
                  <a:t>Consumul</a:t>
                </a:r>
                <a:r>
                  <a:rPr lang="ro-RO" baseline="0"/>
                  <a:t> specific de energie termică, [GJ/tCO2Î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2.5867136978248089E-2"/>
              <c:y val="5.14619883040935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488593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  <c:userShapes r:id="rId3"/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o-R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'DEA 10%'!$C$8:$AF$8</c:f>
              <c:numCache>
                <c:formatCode>General</c:formatCode>
                <c:ptCount val="30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1</c:v>
                </c:pt>
                <c:pt idx="5">
                  <c:v>1.2</c:v>
                </c:pt>
                <c:pt idx="6">
                  <c:v>1.4</c:v>
                </c:pt>
                <c:pt idx="7">
                  <c:v>1.6</c:v>
                </c:pt>
                <c:pt idx="8">
                  <c:v>1.8</c:v>
                </c:pt>
                <c:pt idx="9">
                  <c:v>2</c:v>
                </c:pt>
                <c:pt idx="10">
                  <c:v>2.5</c:v>
                </c:pt>
                <c:pt idx="11">
                  <c:v>3</c:v>
                </c:pt>
                <c:pt idx="12">
                  <c:v>3.5</c:v>
                </c:pt>
                <c:pt idx="13">
                  <c:v>4</c:v>
                </c:pt>
                <c:pt idx="14">
                  <c:v>4.5</c:v>
                </c:pt>
                <c:pt idx="15">
                  <c:v>5</c:v>
                </c:pt>
                <c:pt idx="16">
                  <c:v>5.5</c:v>
                </c:pt>
                <c:pt idx="17">
                  <c:v>5.9787999999999997</c:v>
                </c:pt>
                <c:pt idx="18">
                  <c:v>6.5</c:v>
                </c:pt>
                <c:pt idx="19">
                  <c:v>7</c:v>
                </c:pt>
              </c:numCache>
            </c:numRef>
          </c:xVal>
          <c:yVal>
            <c:numRef>
              <c:f>'DEA 10%'!$C$19:$AF$19</c:f>
              <c:numCache>
                <c:formatCode>General</c:formatCode>
                <c:ptCount val="30"/>
                <c:pt idx="0">
                  <c:v>565.02300000000002</c:v>
                </c:pt>
                <c:pt idx="1">
                  <c:v>680.82600000000002</c:v>
                </c:pt>
                <c:pt idx="2">
                  <c:v>797.03</c:v>
                </c:pt>
                <c:pt idx="3">
                  <c:v>906.44899999999996</c:v>
                </c:pt>
                <c:pt idx="4">
                  <c:v>1147.8599999999999</c:v>
                </c:pt>
                <c:pt idx="5">
                  <c:v>1383.34</c:v>
                </c:pt>
                <c:pt idx="6">
                  <c:v>1619.77</c:v>
                </c:pt>
                <c:pt idx="7">
                  <c:v>1857.03</c:v>
                </c:pt>
                <c:pt idx="8">
                  <c:v>2094.7199999999998</c:v>
                </c:pt>
                <c:pt idx="9">
                  <c:v>2332.4299999999998</c:v>
                </c:pt>
                <c:pt idx="10">
                  <c:v>2921.76</c:v>
                </c:pt>
                <c:pt idx="11">
                  <c:v>3504.3</c:v>
                </c:pt>
                <c:pt idx="12">
                  <c:v>4084.64</c:v>
                </c:pt>
                <c:pt idx="13">
                  <c:v>4663.7700000000004</c:v>
                </c:pt>
                <c:pt idx="14">
                  <c:v>5242.3500000000004</c:v>
                </c:pt>
                <c:pt idx="15">
                  <c:v>5820.32</c:v>
                </c:pt>
                <c:pt idx="16">
                  <c:v>6397.82</c:v>
                </c:pt>
                <c:pt idx="17">
                  <c:v>6950.16</c:v>
                </c:pt>
                <c:pt idx="18">
                  <c:v>7549.67</c:v>
                </c:pt>
                <c:pt idx="19">
                  <c:v>8094.62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76DD-41CD-BB9C-DB6336B0C5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595880"/>
        <c:axId val="488596664"/>
      </c:scatterChart>
      <c:valAx>
        <c:axId val="488595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L/G, [kg_solvent chimic/kg_gaze de ardere]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488596664"/>
        <c:crosses val="autoZero"/>
        <c:crossBetween val="midCat"/>
      </c:valAx>
      <c:valAx>
        <c:axId val="488596664"/>
        <c:scaling>
          <c:orientation val="minMax"/>
          <c:min val="4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o-RO"/>
                  <a:t>Consumul</a:t>
                </a:r>
                <a:r>
                  <a:rPr lang="ro-RO" baseline="0"/>
                  <a:t> specific de energie termică, [GJ/tCO2Î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2.5867136978248089E-2"/>
              <c:y val="5.14619883040935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488595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  <c:userShapes r:id="rId3"/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o-R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280314960629922"/>
          <c:y val="5.2256532066508314E-2"/>
          <c:w val="0.76893307086614171"/>
          <c:h val="0.73680139151252177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'DEA 10%'!$C$8:$AF$8</c:f>
              <c:numCache>
                <c:formatCode>General</c:formatCode>
                <c:ptCount val="30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1</c:v>
                </c:pt>
                <c:pt idx="5">
                  <c:v>1.2</c:v>
                </c:pt>
                <c:pt idx="6">
                  <c:v>1.4</c:v>
                </c:pt>
                <c:pt idx="7">
                  <c:v>1.6</c:v>
                </c:pt>
                <c:pt idx="8">
                  <c:v>1.8</c:v>
                </c:pt>
                <c:pt idx="9">
                  <c:v>2</c:v>
                </c:pt>
                <c:pt idx="10">
                  <c:v>2.5</c:v>
                </c:pt>
                <c:pt idx="11">
                  <c:v>3</c:v>
                </c:pt>
                <c:pt idx="12">
                  <c:v>3.5</c:v>
                </c:pt>
                <c:pt idx="13">
                  <c:v>4</c:v>
                </c:pt>
                <c:pt idx="14">
                  <c:v>4.5</c:v>
                </c:pt>
                <c:pt idx="15">
                  <c:v>5</c:v>
                </c:pt>
                <c:pt idx="16">
                  <c:v>5.5</c:v>
                </c:pt>
                <c:pt idx="17">
                  <c:v>5.9787999999999997</c:v>
                </c:pt>
                <c:pt idx="18">
                  <c:v>6.5</c:v>
                </c:pt>
                <c:pt idx="19">
                  <c:v>7</c:v>
                </c:pt>
              </c:numCache>
            </c:numRef>
          </c:xVal>
          <c:yVal>
            <c:numRef>
              <c:f>'DEA 10%'!$C$16:$AF$16</c:f>
              <c:numCache>
                <c:formatCode>General</c:formatCode>
                <c:ptCount val="30"/>
                <c:pt idx="0">
                  <c:v>0.74413835944844742</c:v>
                </c:pt>
                <c:pt idx="1">
                  <c:v>0.73969263351608983</c:v>
                </c:pt>
                <c:pt idx="2">
                  <c:v>0.73443534347135864</c:v>
                </c:pt>
                <c:pt idx="3">
                  <c:v>0.72935468744551613</c:v>
                </c:pt>
                <c:pt idx="4">
                  <c:v>0.71672180236376737</c:v>
                </c:pt>
                <c:pt idx="5">
                  <c:v>0.70474988996973276</c:v>
                </c:pt>
                <c:pt idx="6">
                  <c:v>0.69326590179423397</c:v>
                </c:pt>
                <c:pt idx="7">
                  <c:v>0.68245225848725</c:v>
                </c:pt>
                <c:pt idx="8">
                  <c:v>0.67252268928302983</c:v>
                </c:pt>
                <c:pt idx="9">
                  <c:v>0.66321304304561446</c:v>
                </c:pt>
                <c:pt idx="10">
                  <c:v>0.64299471813246878</c:v>
                </c:pt>
                <c:pt idx="11">
                  <c:v>0.62652765528100096</c:v>
                </c:pt>
                <c:pt idx="12">
                  <c:v>0.61302260624614502</c:v>
                </c:pt>
                <c:pt idx="13">
                  <c:v>0.60184986164030019</c:v>
                </c:pt>
                <c:pt idx="14">
                  <c:v>0.59247573927159292</c:v>
                </c:pt>
                <c:pt idx="15">
                  <c:v>0.58447115957102214</c:v>
                </c:pt>
                <c:pt idx="16">
                  <c:v>0.57743391135897215</c:v>
                </c:pt>
                <c:pt idx="17">
                  <c:v>0.57116523873093739</c:v>
                </c:pt>
                <c:pt idx="18">
                  <c:v>0.56382772931344494</c:v>
                </c:pt>
                <c:pt idx="19">
                  <c:v>0.5420114598472634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913E-42E4-98C7-375C138D41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354656"/>
        <c:axId val="490361320"/>
      </c:scatterChart>
      <c:valAx>
        <c:axId val="490354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L/G, [kg_solvent chimic/kg_gaze de ardere]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490361320"/>
        <c:crosses val="autoZero"/>
        <c:crossBetween val="midCat"/>
      </c:valAx>
      <c:valAx>
        <c:axId val="490361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Grad </a:t>
                </a:r>
                <a:r>
                  <a:rPr lang="ro-RO" baseline="0"/>
                  <a:t>încărcare solvent bogat în CO</a:t>
                </a:r>
                <a:r>
                  <a:rPr lang="ro-RO" baseline="-25000"/>
                  <a:t>2</a:t>
                </a:r>
                <a:r>
                  <a:rPr lang="ro-RO" baseline="0"/>
                  <a:t>, [molCO2/molamină]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490354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  <c:userShapes r:id="rId3"/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o-R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'DEA 10%'!$C$8:$AF$8</c:f>
              <c:numCache>
                <c:formatCode>General</c:formatCode>
                <c:ptCount val="30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1</c:v>
                </c:pt>
                <c:pt idx="5">
                  <c:v>1.2</c:v>
                </c:pt>
                <c:pt idx="6">
                  <c:v>1.4</c:v>
                </c:pt>
                <c:pt idx="7">
                  <c:v>1.6</c:v>
                </c:pt>
                <c:pt idx="8">
                  <c:v>1.8</c:v>
                </c:pt>
                <c:pt idx="9">
                  <c:v>2</c:v>
                </c:pt>
                <c:pt idx="10">
                  <c:v>2.5</c:v>
                </c:pt>
                <c:pt idx="11">
                  <c:v>3</c:v>
                </c:pt>
                <c:pt idx="12">
                  <c:v>3.5</c:v>
                </c:pt>
                <c:pt idx="13">
                  <c:v>4</c:v>
                </c:pt>
                <c:pt idx="14">
                  <c:v>4.5</c:v>
                </c:pt>
                <c:pt idx="15">
                  <c:v>5</c:v>
                </c:pt>
                <c:pt idx="16">
                  <c:v>5.5</c:v>
                </c:pt>
                <c:pt idx="17">
                  <c:v>5.9787999999999997</c:v>
                </c:pt>
                <c:pt idx="18">
                  <c:v>6.5</c:v>
                </c:pt>
                <c:pt idx="19">
                  <c:v>7</c:v>
                </c:pt>
              </c:numCache>
            </c:numRef>
          </c:xVal>
          <c:yVal>
            <c:numRef>
              <c:f>'DEA 10%'!$C$12:$AF$12</c:f>
              <c:numCache>
                <c:formatCode>General</c:formatCode>
                <c:ptCount val="30"/>
                <c:pt idx="0">
                  <c:v>9.8065587840225099</c:v>
                </c:pt>
                <c:pt idx="1">
                  <c:v>11.697572029605521</c:v>
                </c:pt>
                <c:pt idx="2">
                  <c:v>13.550160841537478</c:v>
                </c:pt>
                <c:pt idx="3">
                  <c:v>15.378774901389344</c:v>
                </c:pt>
                <c:pt idx="4">
                  <c:v>18.890508815801841</c:v>
                </c:pt>
                <c:pt idx="5">
                  <c:v>22.289974065377383</c:v>
                </c:pt>
                <c:pt idx="6">
                  <c:v>25.581210077923554</c:v>
                </c:pt>
                <c:pt idx="7">
                  <c:v>28.779651457223576</c:v>
                </c:pt>
                <c:pt idx="8">
                  <c:v>31.906006504476164</c:v>
                </c:pt>
                <c:pt idx="9">
                  <c:v>34.960374958639498</c:v>
                </c:pt>
                <c:pt idx="10">
                  <c:v>42.36826166715165</c:v>
                </c:pt>
                <c:pt idx="11">
                  <c:v>49.539866783660464</c:v>
                </c:pt>
                <c:pt idx="12">
                  <c:v>56.550692699532149</c:v>
                </c:pt>
                <c:pt idx="13">
                  <c:v>63.451456675017312</c:v>
                </c:pt>
                <c:pt idx="14">
                  <c:v>70.27103313851822</c:v>
                </c:pt>
                <c:pt idx="15">
                  <c:v>77.02407124952218</c:v>
                </c:pt>
                <c:pt idx="16">
                  <c:v>83.706319634935468</c:v>
                </c:pt>
                <c:pt idx="17">
                  <c:v>90.005481902490715</c:v>
                </c:pt>
                <c:pt idx="18">
                  <c:v>96.594663865996722</c:v>
                </c:pt>
                <c:pt idx="19">
                  <c:v>99.999996764095428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125D-4619-B47D-127A67AF8C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360536"/>
        <c:axId val="490363280"/>
      </c:scatterChart>
      <c:valAx>
        <c:axId val="490360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L/G,</a:t>
                </a:r>
                <a:r>
                  <a:rPr lang="en-US" baseline="0"/>
                  <a:t> [kg_solvent chimic/kg_gaze de ardere]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490363280"/>
        <c:crosses val="autoZero"/>
        <c:crossBetween val="midCat"/>
      </c:valAx>
      <c:valAx>
        <c:axId val="49036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Eficien</a:t>
                </a:r>
                <a:r>
                  <a:rPr lang="ro-RO"/>
                  <a:t>ța</a:t>
                </a:r>
                <a:r>
                  <a:rPr lang="ro-RO" baseline="0"/>
                  <a:t> de captare, [%]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490360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o-R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'MDEA 10%'!$C$8:$AE$8</c:f>
              <c:numCache>
                <c:formatCode>General</c:formatCode>
                <c:ptCount val="29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2.5</c:v>
                </c:pt>
                <c:pt idx="12">
                  <c:v>3</c:v>
                </c:pt>
                <c:pt idx="13">
                  <c:v>3.5</c:v>
                </c:pt>
                <c:pt idx="14">
                  <c:v>4</c:v>
                </c:pt>
                <c:pt idx="15">
                  <c:v>4.5</c:v>
                </c:pt>
                <c:pt idx="16">
                  <c:v>5</c:v>
                </c:pt>
                <c:pt idx="17">
                  <c:v>5.5</c:v>
                </c:pt>
                <c:pt idx="18">
                  <c:v>6</c:v>
                </c:pt>
                <c:pt idx="19">
                  <c:v>6.5</c:v>
                </c:pt>
                <c:pt idx="20">
                  <c:v>7</c:v>
                </c:pt>
                <c:pt idx="21">
                  <c:v>7.5</c:v>
                </c:pt>
                <c:pt idx="22">
                  <c:v>8</c:v>
                </c:pt>
                <c:pt idx="23">
                  <c:v>8.5</c:v>
                </c:pt>
                <c:pt idx="24">
                  <c:v>9</c:v>
                </c:pt>
                <c:pt idx="25">
                  <c:v>9.4640000000000004</c:v>
                </c:pt>
                <c:pt idx="26">
                  <c:v>10</c:v>
                </c:pt>
              </c:numCache>
            </c:numRef>
          </c:xVal>
          <c:yVal>
            <c:numRef>
              <c:f>'MDEA 10%'!$C$19:$AE$19</c:f>
              <c:numCache>
                <c:formatCode>General</c:formatCode>
                <c:ptCount val="29"/>
                <c:pt idx="0">
                  <c:v>442.69299999999998</c:v>
                </c:pt>
                <c:pt idx="1">
                  <c:v>534.04600000000005</c:v>
                </c:pt>
                <c:pt idx="2">
                  <c:v>625.798</c:v>
                </c:pt>
                <c:pt idx="3">
                  <c:v>717.94299999999998</c:v>
                </c:pt>
                <c:pt idx="4">
                  <c:v>810.43799999999999</c:v>
                </c:pt>
                <c:pt idx="5">
                  <c:v>903.25800000000004</c:v>
                </c:pt>
                <c:pt idx="6">
                  <c:v>1089.71</c:v>
                </c:pt>
                <c:pt idx="7">
                  <c:v>1277.04</c:v>
                </c:pt>
                <c:pt idx="8">
                  <c:v>1465.09</c:v>
                </c:pt>
                <c:pt idx="9">
                  <c:v>1653.56</c:v>
                </c:pt>
                <c:pt idx="10">
                  <c:v>1842.19</c:v>
                </c:pt>
                <c:pt idx="11">
                  <c:v>2311.3200000000002</c:v>
                </c:pt>
                <c:pt idx="12">
                  <c:v>2770.69</c:v>
                </c:pt>
                <c:pt idx="13">
                  <c:v>3226.04</c:v>
                </c:pt>
                <c:pt idx="14">
                  <c:v>3680.56</c:v>
                </c:pt>
                <c:pt idx="15">
                  <c:v>4134.62</c:v>
                </c:pt>
                <c:pt idx="16">
                  <c:v>4588.24</c:v>
                </c:pt>
                <c:pt idx="17">
                  <c:v>5042.07</c:v>
                </c:pt>
                <c:pt idx="18">
                  <c:v>5495.77</c:v>
                </c:pt>
                <c:pt idx="19">
                  <c:v>5949.26</c:v>
                </c:pt>
                <c:pt idx="20">
                  <c:v>6402.58</c:v>
                </c:pt>
                <c:pt idx="21">
                  <c:v>6856.07</c:v>
                </c:pt>
                <c:pt idx="22">
                  <c:v>7309.05</c:v>
                </c:pt>
                <c:pt idx="23">
                  <c:v>7761.87</c:v>
                </c:pt>
                <c:pt idx="24">
                  <c:v>8214.5499999999993</c:v>
                </c:pt>
                <c:pt idx="25">
                  <c:v>8633.67</c:v>
                </c:pt>
                <c:pt idx="26">
                  <c:v>9115.99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76DD-41CD-BB9C-DB6336B0C5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353872"/>
        <c:axId val="490356616"/>
      </c:scatterChart>
      <c:valAx>
        <c:axId val="490353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L/G, [kg_solvent chimic/kg_gaze de ardere]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490356616"/>
        <c:crosses val="autoZero"/>
        <c:crossBetween val="midCat"/>
      </c:valAx>
      <c:valAx>
        <c:axId val="490356616"/>
        <c:scaling>
          <c:orientation val="minMax"/>
          <c:min val="4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o-RO"/>
                  <a:t>Consumul</a:t>
                </a:r>
                <a:r>
                  <a:rPr lang="ro-RO" baseline="0"/>
                  <a:t> specific de energie termică, [GJ/tCO2Î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2.5867136978248089E-2"/>
              <c:y val="5.14619883040935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490353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  <c:userShapes r:id="rId3"/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o-R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280314960629922"/>
          <c:y val="5.2256532066508314E-2"/>
          <c:w val="0.76893307086614171"/>
          <c:h val="0.73680139151252177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'MDEA 10%'!$C$8:$AE$8</c:f>
              <c:numCache>
                <c:formatCode>General</c:formatCode>
                <c:ptCount val="29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2.5</c:v>
                </c:pt>
                <c:pt idx="12">
                  <c:v>3</c:v>
                </c:pt>
                <c:pt idx="13">
                  <c:v>3.5</c:v>
                </c:pt>
                <c:pt idx="14">
                  <c:v>4</c:v>
                </c:pt>
                <c:pt idx="15">
                  <c:v>4.5</c:v>
                </c:pt>
                <c:pt idx="16">
                  <c:v>5</c:v>
                </c:pt>
                <c:pt idx="17">
                  <c:v>5.5</c:v>
                </c:pt>
                <c:pt idx="18">
                  <c:v>6</c:v>
                </c:pt>
                <c:pt idx="19">
                  <c:v>6.5</c:v>
                </c:pt>
                <c:pt idx="20">
                  <c:v>7</c:v>
                </c:pt>
                <c:pt idx="21">
                  <c:v>7.5</c:v>
                </c:pt>
                <c:pt idx="22">
                  <c:v>8</c:v>
                </c:pt>
                <c:pt idx="23">
                  <c:v>8.5</c:v>
                </c:pt>
                <c:pt idx="24">
                  <c:v>9</c:v>
                </c:pt>
                <c:pt idx="25">
                  <c:v>9.4640000000000004</c:v>
                </c:pt>
                <c:pt idx="26">
                  <c:v>10</c:v>
                </c:pt>
              </c:numCache>
            </c:numRef>
          </c:xVal>
          <c:yVal>
            <c:numRef>
              <c:f>'MDEA 10%'!$C$16:$AE$16</c:f>
              <c:numCache>
                <c:formatCode>General</c:formatCode>
                <c:ptCount val="29"/>
                <c:pt idx="0">
                  <c:v>0.68754170493059641</c:v>
                </c:pt>
                <c:pt idx="1">
                  <c:v>0.67831613421564596</c:v>
                </c:pt>
                <c:pt idx="2">
                  <c:v>0.66785070948187064</c:v>
                </c:pt>
                <c:pt idx="3">
                  <c:v>0.65686343619091214</c:v>
                </c:pt>
                <c:pt idx="4">
                  <c:v>0.64567989175445717</c:v>
                </c:pt>
                <c:pt idx="5">
                  <c:v>0.63463792737311531</c:v>
                </c:pt>
                <c:pt idx="6">
                  <c:v>0.6134205946413499</c:v>
                </c:pt>
                <c:pt idx="7">
                  <c:v>0.59397769621987195</c:v>
                </c:pt>
                <c:pt idx="8">
                  <c:v>0.57639136825430115</c:v>
                </c:pt>
                <c:pt idx="9">
                  <c:v>0.56063461743156928</c:v>
                </c:pt>
                <c:pt idx="10">
                  <c:v>0.54659693906082218</c:v>
                </c:pt>
                <c:pt idx="11">
                  <c:v>0.51778515001934822</c:v>
                </c:pt>
                <c:pt idx="12">
                  <c:v>0.49598973445007499</c:v>
                </c:pt>
                <c:pt idx="13">
                  <c:v>0.47932667091831582</c:v>
                </c:pt>
                <c:pt idx="14">
                  <c:v>0.46629856056968449</c:v>
                </c:pt>
                <c:pt idx="15">
                  <c:v>0.4558959626376588</c:v>
                </c:pt>
                <c:pt idx="16">
                  <c:v>0.44747238175237253</c:v>
                </c:pt>
                <c:pt idx="17">
                  <c:v>0.44047820271147997</c:v>
                </c:pt>
                <c:pt idx="18">
                  <c:v>0.43463787419574684</c:v>
                </c:pt>
                <c:pt idx="19">
                  <c:v>0.42964648912169506</c:v>
                </c:pt>
                <c:pt idx="20">
                  <c:v>0.42525490418151057</c:v>
                </c:pt>
                <c:pt idx="21">
                  <c:v>0.42143142981905313</c:v>
                </c:pt>
                <c:pt idx="22">
                  <c:v>0.41795152366008759</c:v>
                </c:pt>
                <c:pt idx="23">
                  <c:v>0.41474127595575094</c:v>
                </c:pt>
                <c:pt idx="24">
                  <c:v>0.41174337768267461</c:v>
                </c:pt>
                <c:pt idx="25">
                  <c:v>0.40895046530941137</c:v>
                </c:pt>
                <c:pt idx="26">
                  <c:v>0.4055083887938003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913E-42E4-98C7-375C138D41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363672"/>
        <c:axId val="490359752"/>
      </c:scatterChart>
      <c:valAx>
        <c:axId val="490363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L/G, [kg_solvent chimic/kg_gaze de ardere]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490359752"/>
        <c:crosses val="autoZero"/>
        <c:crossBetween val="midCat"/>
      </c:valAx>
      <c:valAx>
        <c:axId val="490359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Grad </a:t>
                </a:r>
                <a:r>
                  <a:rPr lang="ro-RO" baseline="0"/>
                  <a:t>încărcare solvent bogat în CO</a:t>
                </a:r>
                <a:r>
                  <a:rPr lang="ro-RO" baseline="-25000"/>
                  <a:t>2</a:t>
                </a:r>
                <a:r>
                  <a:rPr lang="ro-RO" baseline="0"/>
                  <a:t>, [molCO2/molamină]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490363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o-R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'DEA 30%'!$C$8:$AL$8</c:f>
              <c:numCache>
                <c:formatCode>General</c:formatCode>
                <c:ptCount val="36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  <c:pt idx="6">
                  <c:v>1.1000000000000001</c:v>
                </c:pt>
                <c:pt idx="7">
                  <c:v>1.2</c:v>
                </c:pt>
                <c:pt idx="8">
                  <c:v>1.3</c:v>
                </c:pt>
                <c:pt idx="9">
                  <c:v>1.4</c:v>
                </c:pt>
                <c:pt idx="10">
                  <c:v>1.5</c:v>
                </c:pt>
                <c:pt idx="11">
                  <c:v>1.6</c:v>
                </c:pt>
                <c:pt idx="12">
                  <c:v>1.7</c:v>
                </c:pt>
                <c:pt idx="13">
                  <c:v>1.8</c:v>
                </c:pt>
                <c:pt idx="14">
                  <c:v>1.9</c:v>
                </c:pt>
                <c:pt idx="15">
                  <c:v>2</c:v>
                </c:pt>
                <c:pt idx="16">
                  <c:v>2.1</c:v>
                </c:pt>
                <c:pt idx="17">
                  <c:v>2.2000000000000002</c:v>
                </c:pt>
                <c:pt idx="18">
                  <c:v>2.2999999999999998</c:v>
                </c:pt>
                <c:pt idx="19">
                  <c:v>2.3580000000000001</c:v>
                </c:pt>
                <c:pt idx="20">
                  <c:v>2.5</c:v>
                </c:pt>
                <c:pt idx="21">
                  <c:v>2.6</c:v>
                </c:pt>
                <c:pt idx="22">
                  <c:v>2.7</c:v>
                </c:pt>
                <c:pt idx="23">
                  <c:v>2.8</c:v>
                </c:pt>
                <c:pt idx="24">
                  <c:v>2.9</c:v>
                </c:pt>
              </c:numCache>
            </c:numRef>
          </c:xVal>
          <c:yVal>
            <c:numRef>
              <c:f>'DEA 30%'!$C$12:$AL$12</c:f>
              <c:numCache>
                <c:formatCode>0.00</c:formatCode>
                <c:ptCount val="36"/>
                <c:pt idx="0">
                  <c:v>23.418445573323218</c:v>
                </c:pt>
                <c:pt idx="1">
                  <c:v>27.854747162987671</c:v>
                </c:pt>
                <c:pt idx="2">
                  <c:v>32.173045097717996</c:v>
                </c:pt>
                <c:pt idx="3">
                  <c:v>36.375047407173575</c:v>
                </c:pt>
                <c:pt idx="4">
                  <c:v>40.468022567934078</c:v>
                </c:pt>
                <c:pt idx="5">
                  <c:v>44.455498845646233</c:v>
                </c:pt>
                <c:pt idx="6">
                  <c:v>48.341690211294491</c:v>
                </c:pt>
                <c:pt idx="7">
                  <c:v>52.134376303619348</c:v>
                </c:pt>
                <c:pt idx="8">
                  <c:v>55.837247464074643</c:v>
                </c:pt>
                <c:pt idx="9">
                  <c:v>59.456512442809064</c:v>
                </c:pt>
                <c:pt idx="10">
                  <c:v>62.991286056568441</c:v>
                </c:pt>
                <c:pt idx="11">
                  <c:v>66.445034234150668</c:v>
                </c:pt>
                <c:pt idx="12">
                  <c:v>69.823429628804007</c:v>
                </c:pt>
                <c:pt idx="13">
                  <c:v>73.12102399993617</c:v>
                </c:pt>
                <c:pt idx="14">
                  <c:v>76.344425053528653</c:v>
                </c:pt>
                <c:pt idx="15">
                  <c:v>79.484132653811812</c:v>
                </c:pt>
                <c:pt idx="16">
                  <c:v>82.545495302419752</c:v>
                </c:pt>
                <c:pt idx="17">
                  <c:v>85.517055486527894</c:v>
                </c:pt>
                <c:pt idx="18">
                  <c:v>88.390208227516524</c:v>
                </c:pt>
                <c:pt idx="19">
                  <c:v>90.003217828139299</c:v>
                </c:pt>
                <c:pt idx="20">
                  <c:v>93.756146724984035</c:v>
                </c:pt>
                <c:pt idx="21">
                  <c:v>96.155979512620604</c:v>
                </c:pt>
                <c:pt idx="22">
                  <c:v>98.207948995491563</c:v>
                </c:pt>
                <c:pt idx="23">
                  <c:v>99.582360691480218</c:v>
                </c:pt>
                <c:pt idx="24">
                  <c:v>99.977869383855094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125D-4619-B47D-127A67AF8C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1350712"/>
        <c:axId val="461350320"/>
      </c:scatterChart>
      <c:valAx>
        <c:axId val="461350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L/G,</a:t>
                </a:r>
                <a:r>
                  <a:rPr lang="en-US" baseline="0"/>
                  <a:t> [kg_solvent chimic/kg_gaze de ardere]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461350320"/>
        <c:crosses val="autoZero"/>
        <c:crossBetween val="midCat"/>
      </c:valAx>
      <c:valAx>
        <c:axId val="46135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Eficien</a:t>
                </a:r>
                <a:r>
                  <a:rPr lang="ro-RO"/>
                  <a:t>ța</a:t>
                </a:r>
                <a:r>
                  <a:rPr lang="ro-RO" baseline="0"/>
                  <a:t> de captare, [%]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461350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o-R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'MDEA 10%'!$C$8:$AE$8</c:f>
              <c:numCache>
                <c:formatCode>General</c:formatCode>
                <c:ptCount val="29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2.5</c:v>
                </c:pt>
                <c:pt idx="12">
                  <c:v>3</c:v>
                </c:pt>
                <c:pt idx="13">
                  <c:v>3.5</c:v>
                </c:pt>
                <c:pt idx="14">
                  <c:v>4</c:v>
                </c:pt>
                <c:pt idx="15">
                  <c:v>4.5</c:v>
                </c:pt>
                <c:pt idx="16">
                  <c:v>5</c:v>
                </c:pt>
                <c:pt idx="17">
                  <c:v>5.5</c:v>
                </c:pt>
                <c:pt idx="18">
                  <c:v>6</c:v>
                </c:pt>
                <c:pt idx="19">
                  <c:v>6.5</c:v>
                </c:pt>
                <c:pt idx="20">
                  <c:v>7</c:v>
                </c:pt>
                <c:pt idx="21">
                  <c:v>7.5</c:v>
                </c:pt>
                <c:pt idx="22">
                  <c:v>8</c:v>
                </c:pt>
                <c:pt idx="23">
                  <c:v>8.5</c:v>
                </c:pt>
                <c:pt idx="24">
                  <c:v>9</c:v>
                </c:pt>
                <c:pt idx="25">
                  <c:v>9.4640000000000004</c:v>
                </c:pt>
                <c:pt idx="26">
                  <c:v>10</c:v>
                </c:pt>
              </c:numCache>
            </c:numRef>
          </c:xVal>
          <c:yVal>
            <c:numRef>
              <c:f>'MDEA 10%'!$C$12:$AE$12</c:f>
              <c:numCache>
                <c:formatCode>General</c:formatCode>
                <c:ptCount val="29"/>
                <c:pt idx="0">
                  <c:v>7.9940525659218347</c:v>
                </c:pt>
                <c:pt idx="1">
                  <c:v>9.4641424731122452</c:v>
                </c:pt>
                <c:pt idx="2">
                  <c:v>10.871147489233795</c:v>
                </c:pt>
                <c:pt idx="3">
                  <c:v>12.21975534532246</c:v>
                </c:pt>
                <c:pt idx="4">
                  <c:v>13.513170155410748</c:v>
                </c:pt>
                <c:pt idx="5">
                  <c:v>14.757862484412668</c:v>
                </c:pt>
                <c:pt idx="6">
                  <c:v>17.117374551455207</c:v>
                </c:pt>
                <c:pt idx="7">
                  <c:v>19.337301946480572</c:v>
                </c:pt>
                <c:pt idx="8">
                  <c:v>21.445459371460046</c:v>
                </c:pt>
                <c:pt idx="9">
                  <c:v>23.466644424878989</c:v>
                </c:pt>
                <c:pt idx="10">
                  <c:v>25.421178919473007</c:v>
                </c:pt>
                <c:pt idx="11">
                  <c:v>30.101554207251063</c:v>
                </c:pt>
                <c:pt idx="12">
                  <c:v>34.601414448035875</c:v>
                </c:pt>
                <c:pt idx="13">
                  <c:v>39.012182864398149</c:v>
                </c:pt>
                <c:pt idx="14">
                  <c:v>43.373555561706127</c:v>
                </c:pt>
                <c:pt idx="15">
                  <c:v>47.706689666470432</c:v>
                </c:pt>
                <c:pt idx="16">
                  <c:v>52.028067041535543</c:v>
                </c:pt>
                <c:pt idx="17">
                  <c:v>56.3363412109656</c:v>
                </c:pt>
                <c:pt idx="18">
                  <c:v>60.6430070896945</c:v>
                </c:pt>
                <c:pt idx="19">
                  <c:v>64.942155144448193</c:v>
                </c:pt>
                <c:pt idx="20">
                  <c:v>69.22285149193273</c:v>
                </c:pt>
                <c:pt idx="21">
                  <c:v>73.500568138040705</c:v>
                </c:pt>
                <c:pt idx="22">
                  <c:v>77.753200436158465</c:v>
                </c:pt>
                <c:pt idx="23">
                  <c:v>81.978292314440026</c:v>
                </c:pt>
                <c:pt idx="24">
                  <c:v>86.173150821013706</c:v>
                </c:pt>
                <c:pt idx="25">
                  <c:v>90.001160712126193</c:v>
                </c:pt>
                <c:pt idx="26">
                  <c:v>94.298067133794078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125D-4619-B47D-127A67AF8C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364064"/>
        <c:axId val="490360928"/>
      </c:scatterChart>
      <c:valAx>
        <c:axId val="490364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L/G,</a:t>
                </a:r>
                <a:r>
                  <a:rPr lang="en-US" baseline="0"/>
                  <a:t> [kg_solvent chimic/kg_gaze de ardere]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490360928"/>
        <c:crosses val="autoZero"/>
        <c:crossBetween val="midCat"/>
      </c:valAx>
      <c:valAx>
        <c:axId val="49036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Eficien</a:t>
                </a:r>
                <a:r>
                  <a:rPr lang="ro-RO"/>
                  <a:t>ța</a:t>
                </a:r>
                <a:r>
                  <a:rPr lang="ro-RO" baseline="0"/>
                  <a:t> de captare, [%]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490364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o-R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'MEA 20%+DEA 10%'!$C$8:$AE$8</c:f>
              <c:numCache>
                <c:formatCode>General</c:formatCode>
                <c:ptCount val="29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  <c:pt idx="6">
                  <c:v>1.1000000000000001</c:v>
                </c:pt>
                <c:pt idx="7">
                  <c:v>1.2</c:v>
                </c:pt>
                <c:pt idx="8">
                  <c:v>1.3</c:v>
                </c:pt>
                <c:pt idx="9">
                  <c:v>1.4</c:v>
                </c:pt>
                <c:pt idx="10">
                  <c:v>1.4410000000000001</c:v>
                </c:pt>
                <c:pt idx="11">
                  <c:v>1.5</c:v>
                </c:pt>
                <c:pt idx="12">
                  <c:v>1.6</c:v>
                </c:pt>
              </c:numCache>
            </c:numRef>
          </c:xVal>
          <c:yVal>
            <c:numRef>
              <c:f>'MEA 20%+DEA 10%'!$C$19:$AE$19</c:f>
              <c:numCache>
                <c:formatCode>General</c:formatCode>
                <c:ptCount val="29"/>
                <c:pt idx="0">
                  <c:v>834.99800000000005</c:v>
                </c:pt>
                <c:pt idx="1">
                  <c:v>1004.46</c:v>
                </c:pt>
                <c:pt idx="2">
                  <c:v>1174.4000000000001</c:v>
                </c:pt>
                <c:pt idx="3">
                  <c:v>1344.82</c:v>
                </c:pt>
                <c:pt idx="4">
                  <c:v>1515.47</c:v>
                </c:pt>
                <c:pt idx="5">
                  <c:v>1686.92</c:v>
                </c:pt>
                <c:pt idx="6">
                  <c:v>1858.55</c:v>
                </c:pt>
                <c:pt idx="7">
                  <c:v>2030.3</c:v>
                </c:pt>
                <c:pt idx="8">
                  <c:v>2201.7800000000002</c:v>
                </c:pt>
                <c:pt idx="9">
                  <c:v>2371.6</c:v>
                </c:pt>
                <c:pt idx="10">
                  <c:v>2440.58</c:v>
                </c:pt>
                <c:pt idx="11">
                  <c:v>2539.46</c:v>
                </c:pt>
                <c:pt idx="12">
                  <c:v>2705.07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76DD-41CD-BB9C-DB6336B0C5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355440"/>
        <c:axId val="490357008"/>
      </c:scatterChart>
      <c:valAx>
        <c:axId val="490355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L/G, [kg_solvent chimic/kg_gaze de ardere]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490357008"/>
        <c:crosses val="autoZero"/>
        <c:crossBetween val="midCat"/>
      </c:valAx>
      <c:valAx>
        <c:axId val="490357008"/>
        <c:scaling>
          <c:orientation val="minMax"/>
          <c:min val="4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o-RO"/>
                  <a:t>Consumul</a:t>
                </a:r>
                <a:r>
                  <a:rPr lang="ro-RO" baseline="0"/>
                  <a:t> specific de energie termică, [GJ/tCO2Î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2.5867136978248089E-2"/>
              <c:y val="5.14619883040935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490355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  <c:userShapes r:id="rId3"/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o-R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280314960629922"/>
          <c:y val="5.2256532066508314E-2"/>
          <c:w val="0.76893307086614171"/>
          <c:h val="0.73680139151252177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'MEA 20%+DEA 10%'!$C$8:$AE$8</c:f>
              <c:numCache>
                <c:formatCode>General</c:formatCode>
                <c:ptCount val="29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  <c:pt idx="6">
                  <c:v>1.1000000000000001</c:v>
                </c:pt>
                <c:pt idx="7">
                  <c:v>1.2</c:v>
                </c:pt>
                <c:pt idx="8">
                  <c:v>1.3</c:v>
                </c:pt>
                <c:pt idx="9">
                  <c:v>1.4</c:v>
                </c:pt>
                <c:pt idx="10">
                  <c:v>1.4410000000000001</c:v>
                </c:pt>
                <c:pt idx="11">
                  <c:v>1.5</c:v>
                </c:pt>
                <c:pt idx="12">
                  <c:v>1.6</c:v>
                </c:pt>
              </c:numCache>
            </c:numRef>
          </c:xVal>
          <c:yVal>
            <c:numRef>
              <c:f>'MEA 20%+DEA 10%'!$C$16:$AE$16</c:f>
              <c:numCache>
                <c:formatCode>General</c:formatCode>
                <c:ptCount val="29"/>
                <c:pt idx="0">
                  <c:v>0.56266517582492892</c:v>
                </c:pt>
                <c:pt idx="1">
                  <c:v>0.56038832679158945</c:v>
                </c:pt>
                <c:pt idx="2">
                  <c:v>0.55773137253116301</c:v>
                </c:pt>
                <c:pt idx="3">
                  <c:v>0.55483677643590446</c:v>
                </c:pt>
                <c:pt idx="4">
                  <c:v>0.55178743173767886</c:v>
                </c:pt>
                <c:pt idx="5">
                  <c:v>0.5486406258643467</c:v>
                </c:pt>
                <c:pt idx="6">
                  <c:v>0.54545499490390303</c:v>
                </c:pt>
                <c:pt idx="7">
                  <c:v>0.54220282640212247</c:v>
                </c:pt>
                <c:pt idx="8">
                  <c:v>0.53886240151664699</c:v>
                </c:pt>
                <c:pt idx="9">
                  <c:v>0.53535883162890507</c:v>
                </c:pt>
                <c:pt idx="10">
                  <c:v>0.5338390677175785</c:v>
                </c:pt>
                <c:pt idx="11">
                  <c:v>0.53149512190706449</c:v>
                </c:pt>
                <c:pt idx="12">
                  <c:v>0.52620225838825563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913E-42E4-98C7-375C138D41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353480"/>
        <c:axId val="490357400"/>
      </c:scatterChart>
      <c:valAx>
        <c:axId val="490353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L/G, [kg_solvent chimic/kg_gaze de ardere]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490357400"/>
        <c:crosses val="autoZero"/>
        <c:crossBetween val="midCat"/>
      </c:valAx>
      <c:valAx>
        <c:axId val="490357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Grad </a:t>
                </a:r>
                <a:r>
                  <a:rPr lang="ro-RO" baseline="0"/>
                  <a:t>încărcare solvent bogat în CO</a:t>
                </a:r>
                <a:r>
                  <a:rPr lang="ro-RO" baseline="-25000"/>
                  <a:t>2</a:t>
                </a:r>
                <a:r>
                  <a:rPr lang="ro-RO" baseline="0"/>
                  <a:t>, [molCO2/molamină]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490353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  <c:userShapes r:id="rId3"/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o-R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'MEA 20%+DEA 10%'!$C$8:$AE$8</c:f>
              <c:numCache>
                <c:formatCode>General</c:formatCode>
                <c:ptCount val="29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  <c:pt idx="6">
                  <c:v>1.1000000000000001</c:v>
                </c:pt>
                <c:pt idx="7">
                  <c:v>1.2</c:v>
                </c:pt>
                <c:pt idx="8">
                  <c:v>1.3</c:v>
                </c:pt>
                <c:pt idx="9">
                  <c:v>1.4</c:v>
                </c:pt>
                <c:pt idx="10">
                  <c:v>1.4410000000000001</c:v>
                </c:pt>
                <c:pt idx="11">
                  <c:v>1.5</c:v>
                </c:pt>
                <c:pt idx="12">
                  <c:v>1.6</c:v>
                </c:pt>
              </c:numCache>
            </c:numRef>
          </c:xVal>
          <c:yVal>
            <c:numRef>
              <c:f>'MEA 20%+DEA 10%'!$C$12:$AE$12</c:f>
              <c:numCache>
                <c:formatCode>General</c:formatCode>
                <c:ptCount val="29"/>
                <c:pt idx="0">
                  <c:v>32.934502174184622</c:v>
                </c:pt>
                <c:pt idx="1">
                  <c:v>39.359960144312303</c:v>
                </c:pt>
                <c:pt idx="2">
                  <c:v>45.700415587304128</c:v>
                </c:pt>
                <c:pt idx="3">
                  <c:v>51.955831101050777</c:v>
                </c:pt>
                <c:pt idx="4">
                  <c:v>58.126555771905977</c:v>
                </c:pt>
                <c:pt idx="5">
                  <c:v>64.213749065258952</c:v>
                </c:pt>
                <c:pt idx="6">
                  <c:v>70.221450408917264</c:v>
                </c:pt>
                <c:pt idx="7">
                  <c:v>76.14383754119531</c:v>
                </c:pt>
                <c:pt idx="8">
                  <c:v>81.975013396188828</c:v>
                </c:pt>
                <c:pt idx="9">
                  <c:v>87.698201881126622</c:v>
                </c:pt>
                <c:pt idx="10">
                  <c:v>90.005466941646972</c:v>
                </c:pt>
                <c:pt idx="11">
                  <c:v>93.269656242200099</c:v>
                </c:pt>
                <c:pt idx="12">
                  <c:v>98.458290040391788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125D-4619-B47D-127A67AF8C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362104"/>
        <c:axId val="490364456"/>
      </c:scatterChart>
      <c:valAx>
        <c:axId val="490362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L/G,</a:t>
                </a:r>
                <a:r>
                  <a:rPr lang="en-US" baseline="0"/>
                  <a:t> [kg_solvent chimic/kg_gaze de ardere]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490364456"/>
        <c:crosses val="autoZero"/>
        <c:crossBetween val="midCat"/>
      </c:valAx>
      <c:valAx>
        <c:axId val="490364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Eficien</a:t>
                </a:r>
                <a:r>
                  <a:rPr lang="ro-RO"/>
                  <a:t>ța</a:t>
                </a:r>
                <a:r>
                  <a:rPr lang="ro-RO" baseline="0"/>
                  <a:t> de captare, [%]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490362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o-R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'MEA 20% + MDEA 10%'!$C$8:$AE$8</c:f>
              <c:numCache>
                <c:formatCode>General</c:formatCode>
                <c:ptCount val="29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  <c:pt idx="6">
                  <c:v>1.1000000000000001</c:v>
                </c:pt>
                <c:pt idx="7">
                  <c:v>1.2</c:v>
                </c:pt>
                <c:pt idx="8">
                  <c:v>1.3</c:v>
                </c:pt>
                <c:pt idx="9">
                  <c:v>1.4</c:v>
                </c:pt>
                <c:pt idx="10">
                  <c:v>1.5</c:v>
                </c:pt>
                <c:pt idx="11">
                  <c:v>1.5891</c:v>
                </c:pt>
                <c:pt idx="12">
                  <c:v>1.7</c:v>
                </c:pt>
                <c:pt idx="13">
                  <c:v>1.8</c:v>
                </c:pt>
              </c:numCache>
            </c:numRef>
          </c:xVal>
          <c:yVal>
            <c:numRef>
              <c:f>'MEA 20% + MDEA 10%'!$C$19:$AE$19</c:f>
              <c:numCache>
                <c:formatCode>General</c:formatCode>
                <c:ptCount val="29"/>
                <c:pt idx="0">
                  <c:v>763.71199999999999</c:v>
                </c:pt>
                <c:pt idx="1">
                  <c:v>919.22699999999998</c:v>
                </c:pt>
                <c:pt idx="2">
                  <c:v>1075.25</c:v>
                </c:pt>
                <c:pt idx="3">
                  <c:v>1231.75</c:v>
                </c:pt>
                <c:pt idx="4">
                  <c:v>1388.77</c:v>
                </c:pt>
                <c:pt idx="5">
                  <c:v>1546.2</c:v>
                </c:pt>
                <c:pt idx="6">
                  <c:v>1703.98</c:v>
                </c:pt>
                <c:pt idx="7">
                  <c:v>1862</c:v>
                </c:pt>
                <c:pt idx="8">
                  <c:v>2020.09</c:v>
                </c:pt>
                <c:pt idx="9">
                  <c:v>2177.31</c:v>
                </c:pt>
                <c:pt idx="10">
                  <c:v>2331.9499999999998</c:v>
                </c:pt>
                <c:pt idx="11">
                  <c:v>2467.92</c:v>
                </c:pt>
                <c:pt idx="12">
                  <c:v>2635.46</c:v>
                </c:pt>
                <c:pt idx="13">
                  <c:v>2782.31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76DD-41CD-BB9C-DB6336B0C5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355832"/>
        <c:axId val="490364848"/>
      </c:scatterChart>
      <c:valAx>
        <c:axId val="490355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L/G, [kg_solvent chimic/kg_gaze de ardere]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490364848"/>
        <c:crosses val="autoZero"/>
        <c:crossBetween val="midCat"/>
      </c:valAx>
      <c:valAx>
        <c:axId val="490364848"/>
        <c:scaling>
          <c:orientation val="minMax"/>
          <c:min val="4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o-RO"/>
                  <a:t>Consumul</a:t>
                </a:r>
                <a:r>
                  <a:rPr lang="ro-RO" baseline="0"/>
                  <a:t> specific de energie termică, [GJ/tCO2Î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2.5867136978248089E-2"/>
              <c:y val="5.14619883040935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490355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  <c:userShapes r:id="rId3"/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o-R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280314960629922"/>
          <c:y val="5.2256532066508314E-2"/>
          <c:w val="0.76893307086614171"/>
          <c:h val="0.73680139151252177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'MEA 20% + MDEA 10%'!$C$8:$AE$8</c:f>
              <c:numCache>
                <c:formatCode>General</c:formatCode>
                <c:ptCount val="29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  <c:pt idx="6">
                  <c:v>1.1000000000000001</c:v>
                </c:pt>
                <c:pt idx="7">
                  <c:v>1.2</c:v>
                </c:pt>
                <c:pt idx="8">
                  <c:v>1.3</c:v>
                </c:pt>
                <c:pt idx="9">
                  <c:v>1.4</c:v>
                </c:pt>
                <c:pt idx="10">
                  <c:v>1.5</c:v>
                </c:pt>
                <c:pt idx="11">
                  <c:v>1.5891</c:v>
                </c:pt>
                <c:pt idx="12">
                  <c:v>1.7</c:v>
                </c:pt>
                <c:pt idx="13">
                  <c:v>1.8</c:v>
                </c:pt>
              </c:numCache>
            </c:numRef>
          </c:xVal>
          <c:yVal>
            <c:numRef>
              <c:f>'MEA 20% + MDEA 10%'!$C$16:$AE$16</c:f>
              <c:numCache>
                <c:formatCode>General</c:formatCode>
                <c:ptCount val="29"/>
                <c:pt idx="0">
                  <c:v>0.53964173736406551</c:v>
                </c:pt>
                <c:pt idx="1">
                  <c:v>0.53625750388720428</c:v>
                </c:pt>
                <c:pt idx="2">
                  <c:v>0.53249025921925597</c:v>
                </c:pt>
                <c:pt idx="3">
                  <c:v>0.5285073731257226</c:v>
                </c:pt>
                <c:pt idx="4">
                  <c:v>0.52445080197616112</c:v>
                </c:pt>
                <c:pt idx="5">
                  <c:v>0.52039015441959224</c:v>
                </c:pt>
                <c:pt idx="6">
                  <c:v>0.51634725426565486</c:v>
                </c:pt>
                <c:pt idx="7">
                  <c:v>0.51237832753329138</c:v>
                </c:pt>
                <c:pt idx="8">
                  <c:v>0.50847932292996201</c:v>
                </c:pt>
                <c:pt idx="9">
                  <c:v>0.50459744746172375</c:v>
                </c:pt>
                <c:pt idx="10">
                  <c:v>0.50072325565124653</c:v>
                </c:pt>
                <c:pt idx="11">
                  <c:v>0.49717293116217259</c:v>
                </c:pt>
                <c:pt idx="12">
                  <c:v>0.49234086464286719</c:v>
                </c:pt>
                <c:pt idx="13">
                  <c:v>0.48542367174053169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913E-42E4-98C7-375C138D41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353088"/>
        <c:axId val="490356224"/>
      </c:scatterChart>
      <c:valAx>
        <c:axId val="490353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L/G, [kg_solvent chimic/kg_gaze de ardere]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490356224"/>
        <c:crosses val="autoZero"/>
        <c:crossBetween val="midCat"/>
      </c:valAx>
      <c:valAx>
        <c:axId val="49035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Grad </a:t>
                </a:r>
                <a:r>
                  <a:rPr lang="ro-RO" baseline="0"/>
                  <a:t>încărcare solvent bogat în CO</a:t>
                </a:r>
                <a:r>
                  <a:rPr lang="ro-RO" baseline="-25000"/>
                  <a:t>2</a:t>
                </a:r>
                <a:r>
                  <a:rPr lang="ro-RO" baseline="0"/>
                  <a:t>, [molCO2/molamină]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490353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  <c:userShapes r:id="rId3"/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o-R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'MEA 20% + MDEA 10%'!$C$8:$AE$8</c:f>
              <c:numCache>
                <c:formatCode>General</c:formatCode>
                <c:ptCount val="29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  <c:pt idx="6">
                  <c:v>1.1000000000000001</c:v>
                </c:pt>
                <c:pt idx="7">
                  <c:v>1.2</c:v>
                </c:pt>
                <c:pt idx="8">
                  <c:v>1.3</c:v>
                </c:pt>
                <c:pt idx="9">
                  <c:v>1.4</c:v>
                </c:pt>
                <c:pt idx="10">
                  <c:v>1.5</c:v>
                </c:pt>
                <c:pt idx="11">
                  <c:v>1.5891</c:v>
                </c:pt>
                <c:pt idx="12">
                  <c:v>1.7</c:v>
                </c:pt>
                <c:pt idx="13">
                  <c:v>1.8</c:v>
                </c:pt>
              </c:numCache>
            </c:numRef>
          </c:xVal>
          <c:yVal>
            <c:numRef>
              <c:f>'MEA 20% + MDEA 10%'!$C$12:$AE$12</c:f>
              <c:numCache>
                <c:formatCode>General</c:formatCode>
                <c:ptCount val="29"/>
                <c:pt idx="0">
                  <c:v>30.750518206224765</c:v>
                </c:pt>
                <c:pt idx="1">
                  <c:v>36.668117868508645</c:v>
                </c:pt>
                <c:pt idx="2">
                  <c:v>42.477700239049348</c:v>
                </c:pt>
                <c:pt idx="3">
                  <c:v>48.181397238078638</c:v>
                </c:pt>
                <c:pt idx="4">
                  <c:v>53.786415005327306</c:v>
                </c:pt>
                <c:pt idx="5">
                  <c:v>59.298139444538776</c:v>
                </c:pt>
                <c:pt idx="6">
                  <c:v>64.719026627559032</c:v>
                </c:pt>
                <c:pt idx="7">
                  <c:v>70.057379822659144</c:v>
                </c:pt>
                <c:pt idx="8">
                  <c:v>75.314981863717193</c:v>
                </c:pt>
                <c:pt idx="9">
                  <c:v>80.485349718449385</c:v>
                </c:pt>
                <c:pt idx="10">
                  <c:v>85.567049639331458</c:v>
                </c:pt>
                <c:pt idx="11">
                  <c:v>90.000292983189752</c:v>
                </c:pt>
                <c:pt idx="12">
                  <c:v>95.330143432102332</c:v>
                </c:pt>
                <c:pt idx="13">
                  <c:v>99.47334027516483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125D-4619-B47D-127A67AF8C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358968"/>
        <c:axId val="490372688"/>
      </c:scatterChart>
      <c:valAx>
        <c:axId val="490358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L/G,</a:t>
                </a:r>
                <a:r>
                  <a:rPr lang="en-US" baseline="0"/>
                  <a:t> [kg_solvent chimic/kg_gaze de ardere]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490372688"/>
        <c:crosses val="autoZero"/>
        <c:crossBetween val="midCat"/>
      </c:valAx>
      <c:valAx>
        <c:axId val="49037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Eficien</a:t>
                </a:r>
                <a:r>
                  <a:rPr lang="ro-RO"/>
                  <a:t>ța</a:t>
                </a:r>
                <a:r>
                  <a:rPr lang="ro-RO" baseline="0"/>
                  <a:t> de captare, [%]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490358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o-R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'MEA 10% + DEA 20%'!$C$8:$AE$8</c:f>
              <c:numCache>
                <c:formatCode>General</c:formatCode>
                <c:ptCount val="29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  <c:pt idx="6">
                  <c:v>1.1000000000000001</c:v>
                </c:pt>
                <c:pt idx="7">
                  <c:v>1.2</c:v>
                </c:pt>
                <c:pt idx="8">
                  <c:v>1.3</c:v>
                </c:pt>
                <c:pt idx="9">
                  <c:v>1.4</c:v>
                </c:pt>
                <c:pt idx="10">
                  <c:v>1.5</c:v>
                </c:pt>
                <c:pt idx="11">
                  <c:v>1.6</c:v>
                </c:pt>
                <c:pt idx="12">
                  <c:v>1.7</c:v>
                </c:pt>
                <c:pt idx="13">
                  <c:v>1.7721</c:v>
                </c:pt>
                <c:pt idx="14">
                  <c:v>1.9</c:v>
                </c:pt>
                <c:pt idx="15">
                  <c:v>2</c:v>
                </c:pt>
              </c:numCache>
            </c:numRef>
          </c:xVal>
          <c:yVal>
            <c:numRef>
              <c:f>'MEA 10% + DEA 20%'!$C$19:$AE$19</c:f>
              <c:numCache>
                <c:formatCode>General</c:formatCode>
                <c:ptCount val="29"/>
                <c:pt idx="0">
                  <c:v>897.06799999999998</c:v>
                </c:pt>
                <c:pt idx="1">
                  <c:v>1078.8499999999999</c:v>
                </c:pt>
                <c:pt idx="2">
                  <c:v>1261.05</c:v>
                </c:pt>
                <c:pt idx="3">
                  <c:v>1443.65</c:v>
                </c:pt>
                <c:pt idx="4">
                  <c:v>1626.56</c:v>
                </c:pt>
                <c:pt idx="5">
                  <c:v>1809.85</c:v>
                </c:pt>
                <c:pt idx="6">
                  <c:v>1993.51</c:v>
                </c:pt>
                <c:pt idx="7">
                  <c:v>2177.46</c:v>
                </c:pt>
                <c:pt idx="8">
                  <c:v>2361.6</c:v>
                </c:pt>
                <c:pt idx="9">
                  <c:v>2545.7800000000002</c:v>
                </c:pt>
                <c:pt idx="10">
                  <c:v>2729.79</c:v>
                </c:pt>
                <c:pt idx="11">
                  <c:v>2912.29</c:v>
                </c:pt>
                <c:pt idx="12">
                  <c:v>3093.67</c:v>
                </c:pt>
                <c:pt idx="13">
                  <c:v>3223.76</c:v>
                </c:pt>
                <c:pt idx="14">
                  <c:v>3453.7</c:v>
                </c:pt>
                <c:pt idx="15">
                  <c:v>3631.77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76DD-41CD-BB9C-DB6336B0C5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374648"/>
        <c:axId val="490366808"/>
      </c:scatterChart>
      <c:valAx>
        <c:axId val="490374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L/G, [kg_solvent chimic/kg_gaze de ardere]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490366808"/>
        <c:crosses val="autoZero"/>
        <c:crossBetween val="midCat"/>
      </c:valAx>
      <c:valAx>
        <c:axId val="490366808"/>
        <c:scaling>
          <c:orientation val="minMax"/>
          <c:min val="4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o-RO"/>
                  <a:t>Consumul</a:t>
                </a:r>
                <a:r>
                  <a:rPr lang="ro-RO" baseline="0"/>
                  <a:t> specific de energie termică, [GJ/tCO2Î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2.5867136978248089E-2"/>
              <c:y val="5.14619883040935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490374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  <c:userShapes r:id="rId3"/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o-R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'MEA 20% + MDEA 10%'!$C$8:$AE$8</c:f>
              <c:numCache>
                <c:formatCode>General</c:formatCode>
                <c:ptCount val="29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  <c:pt idx="6">
                  <c:v>1.1000000000000001</c:v>
                </c:pt>
                <c:pt idx="7">
                  <c:v>1.2</c:v>
                </c:pt>
                <c:pt idx="8">
                  <c:v>1.3</c:v>
                </c:pt>
                <c:pt idx="9">
                  <c:v>1.4</c:v>
                </c:pt>
                <c:pt idx="10">
                  <c:v>1.5</c:v>
                </c:pt>
                <c:pt idx="11">
                  <c:v>1.5891</c:v>
                </c:pt>
                <c:pt idx="12">
                  <c:v>1.7</c:v>
                </c:pt>
                <c:pt idx="13">
                  <c:v>1.8</c:v>
                </c:pt>
              </c:numCache>
            </c:numRef>
          </c:xVal>
          <c:yVal>
            <c:numRef>
              <c:f>'MEA 20% + MDEA 10%'!$C$12:$AE$12</c:f>
              <c:numCache>
                <c:formatCode>General</c:formatCode>
                <c:ptCount val="29"/>
                <c:pt idx="0">
                  <c:v>30.750518206224765</c:v>
                </c:pt>
                <c:pt idx="1">
                  <c:v>36.668117868508645</c:v>
                </c:pt>
                <c:pt idx="2">
                  <c:v>42.477700239049348</c:v>
                </c:pt>
                <c:pt idx="3">
                  <c:v>48.181397238078638</c:v>
                </c:pt>
                <c:pt idx="4">
                  <c:v>53.786415005327306</c:v>
                </c:pt>
                <c:pt idx="5">
                  <c:v>59.298139444538776</c:v>
                </c:pt>
                <c:pt idx="6">
                  <c:v>64.719026627559032</c:v>
                </c:pt>
                <c:pt idx="7">
                  <c:v>70.057379822659144</c:v>
                </c:pt>
                <c:pt idx="8">
                  <c:v>75.314981863717193</c:v>
                </c:pt>
                <c:pt idx="9">
                  <c:v>80.485349718449385</c:v>
                </c:pt>
                <c:pt idx="10">
                  <c:v>85.567049639331458</c:v>
                </c:pt>
                <c:pt idx="11">
                  <c:v>90.000292983189752</c:v>
                </c:pt>
                <c:pt idx="12">
                  <c:v>95.330143432102332</c:v>
                </c:pt>
                <c:pt idx="13">
                  <c:v>99.47334027516483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125D-4619-B47D-127A67AF8C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368768"/>
        <c:axId val="490367592"/>
      </c:scatterChart>
      <c:valAx>
        <c:axId val="490368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L/G,</a:t>
                </a:r>
                <a:r>
                  <a:rPr lang="en-US" baseline="0"/>
                  <a:t> [kg_solvent chimic/kg_gaze de ardere]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490367592"/>
        <c:crosses val="autoZero"/>
        <c:crossBetween val="midCat"/>
      </c:valAx>
      <c:valAx>
        <c:axId val="490367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Eficien</a:t>
                </a:r>
                <a:r>
                  <a:rPr lang="ro-RO"/>
                  <a:t>ța</a:t>
                </a:r>
                <a:r>
                  <a:rPr lang="ro-RO" baseline="0"/>
                  <a:t> de captare, [%]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490368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o-R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280314960629922"/>
          <c:y val="5.2256532066508314E-2"/>
          <c:w val="0.76893307086614171"/>
          <c:h val="0.73680139151252177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'MEA 10% + DEA 20%'!$C$8:$AE$8</c:f>
              <c:numCache>
                <c:formatCode>General</c:formatCode>
                <c:ptCount val="29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  <c:pt idx="6">
                  <c:v>1.1000000000000001</c:v>
                </c:pt>
                <c:pt idx="7">
                  <c:v>1.2</c:v>
                </c:pt>
                <c:pt idx="8">
                  <c:v>1.3</c:v>
                </c:pt>
                <c:pt idx="9">
                  <c:v>1.4</c:v>
                </c:pt>
                <c:pt idx="10">
                  <c:v>1.5</c:v>
                </c:pt>
                <c:pt idx="11">
                  <c:v>1.6</c:v>
                </c:pt>
                <c:pt idx="12">
                  <c:v>1.7</c:v>
                </c:pt>
                <c:pt idx="13">
                  <c:v>1.7721</c:v>
                </c:pt>
                <c:pt idx="14">
                  <c:v>1.9</c:v>
                </c:pt>
                <c:pt idx="15">
                  <c:v>2</c:v>
                </c:pt>
              </c:numCache>
            </c:numRef>
          </c:xVal>
          <c:yVal>
            <c:numRef>
              <c:f>'MEA 10% + DEA 20%'!$C$16:$AE$16</c:f>
              <c:numCache>
                <c:formatCode>General</c:formatCode>
                <c:ptCount val="29"/>
                <c:pt idx="0">
                  <c:v>0.57296569365199967</c:v>
                </c:pt>
                <c:pt idx="1">
                  <c:v>0.56959248163377363</c:v>
                </c:pt>
                <c:pt idx="2">
                  <c:v>0.56575064632167138</c:v>
                </c:pt>
                <c:pt idx="3">
                  <c:v>0.56157298316357407</c:v>
                </c:pt>
                <c:pt idx="4">
                  <c:v>0.55724129373229803</c:v>
                </c:pt>
                <c:pt idx="5">
                  <c:v>0.55281077383384314</c:v>
                </c:pt>
                <c:pt idx="6">
                  <c:v>0.54836740485398172</c:v>
                </c:pt>
                <c:pt idx="7">
                  <c:v>0.54390683130272233</c:v>
                </c:pt>
                <c:pt idx="8">
                  <c:v>0.53946134354639674</c:v>
                </c:pt>
                <c:pt idx="9">
                  <c:v>0.5350089989052631</c:v>
                </c:pt>
                <c:pt idx="10">
                  <c:v>0.5305420512774599</c:v>
                </c:pt>
                <c:pt idx="11">
                  <c:v>0.52604137339614176</c:v>
                </c:pt>
                <c:pt idx="12">
                  <c:v>0.52145513820909661</c:v>
                </c:pt>
                <c:pt idx="13">
                  <c:v>0.51799911326017101</c:v>
                </c:pt>
                <c:pt idx="14">
                  <c:v>0.51123255939995604</c:v>
                </c:pt>
                <c:pt idx="15">
                  <c:v>0.54506984096808042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913E-42E4-98C7-375C138D41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366416"/>
        <c:axId val="490369160"/>
      </c:scatterChart>
      <c:valAx>
        <c:axId val="490366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L/G, [kg_solvent chimic/kg_gaze de ardere]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490369160"/>
        <c:crosses val="autoZero"/>
        <c:crossBetween val="midCat"/>
      </c:valAx>
      <c:valAx>
        <c:axId val="490369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Grad </a:t>
                </a:r>
                <a:r>
                  <a:rPr lang="ro-RO" baseline="0"/>
                  <a:t>încărcare solvent bogat în CO</a:t>
                </a:r>
                <a:r>
                  <a:rPr lang="ro-RO" baseline="-25000"/>
                  <a:t>2</a:t>
                </a:r>
                <a:r>
                  <a:rPr lang="ro-RO" baseline="0"/>
                  <a:t>, [molCO2/molamină]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490366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47" Type="http://schemas.openxmlformats.org/officeDocument/2006/relationships/chart" Target="../charts/chart47.xml"/><Relationship Id="rId50" Type="http://schemas.openxmlformats.org/officeDocument/2006/relationships/chart" Target="../charts/chart50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46" Type="http://schemas.openxmlformats.org/officeDocument/2006/relationships/chart" Target="../charts/chart46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41" Type="http://schemas.openxmlformats.org/officeDocument/2006/relationships/chart" Target="../charts/chart41.xml"/><Relationship Id="rId54" Type="http://schemas.openxmlformats.org/officeDocument/2006/relationships/chart" Target="../charts/chart54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53" Type="http://schemas.openxmlformats.org/officeDocument/2006/relationships/chart" Target="../charts/chart53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49" Type="http://schemas.openxmlformats.org/officeDocument/2006/relationships/chart" Target="../charts/chart49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52" Type="http://schemas.openxmlformats.org/officeDocument/2006/relationships/chart" Target="../charts/chart52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Relationship Id="rId48" Type="http://schemas.openxmlformats.org/officeDocument/2006/relationships/chart" Target="../charts/chart48.xml"/><Relationship Id="rId8" Type="http://schemas.openxmlformats.org/officeDocument/2006/relationships/chart" Target="../charts/chart8.xml"/><Relationship Id="rId51" Type="http://schemas.openxmlformats.org/officeDocument/2006/relationships/chart" Target="../charts/chart51.xml"/></Relationships>
</file>

<file path=xl/drawings/_rels/drawing5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7.xml"/><Relationship Id="rId2" Type="http://schemas.openxmlformats.org/officeDocument/2006/relationships/chart" Target="../charts/chart56.xml"/><Relationship Id="rId1" Type="http://schemas.openxmlformats.org/officeDocument/2006/relationships/chart" Target="../charts/chart55.xml"/></Relationships>
</file>

<file path=xl/drawings/_rels/drawing5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5.xml"/><Relationship Id="rId3" Type="http://schemas.openxmlformats.org/officeDocument/2006/relationships/chart" Target="../charts/chart60.xml"/><Relationship Id="rId7" Type="http://schemas.openxmlformats.org/officeDocument/2006/relationships/chart" Target="../charts/chart64.xml"/><Relationship Id="rId2" Type="http://schemas.openxmlformats.org/officeDocument/2006/relationships/chart" Target="../charts/chart59.xml"/><Relationship Id="rId1" Type="http://schemas.openxmlformats.org/officeDocument/2006/relationships/chart" Target="../charts/chart58.xml"/><Relationship Id="rId6" Type="http://schemas.openxmlformats.org/officeDocument/2006/relationships/chart" Target="../charts/chart63.xml"/><Relationship Id="rId5" Type="http://schemas.openxmlformats.org/officeDocument/2006/relationships/chart" Target="../charts/chart62.xml"/><Relationship Id="rId4" Type="http://schemas.openxmlformats.org/officeDocument/2006/relationships/chart" Target="../charts/chart61.xml"/><Relationship Id="rId9" Type="http://schemas.openxmlformats.org/officeDocument/2006/relationships/chart" Target="../charts/chart66.xml"/></Relationships>
</file>

<file path=xl/drawings/_rels/drawing5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9.xml"/><Relationship Id="rId2" Type="http://schemas.openxmlformats.org/officeDocument/2006/relationships/chart" Target="../charts/chart68.xml"/><Relationship Id="rId1" Type="http://schemas.openxmlformats.org/officeDocument/2006/relationships/chart" Target="../charts/chart67.xml"/></Relationships>
</file>

<file path=xl/drawings/_rels/drawing5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2.xml"/><Relationship Id="rId2" Type="http://schemas.openxmlformats.org/officeDocument/2006/relationships/chart" Target="../charts/chart71.xml"/><Relationship Id="rId1" Type="http://schemas.openxmlformats.org/officeDocument/2006/relationships/chart" Target="../charts/chart70.xml"/></Relationships>
</file>

<file path=xl/drawings/_rels/drawing6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5.xml"/><Relationship Id="rId2" Type="http://schemas.openxmlformats.org/officeDocument/2006/relationships/chart" Target="../charts/chart74.xml"/><Relationship Id="rId1" Type="http://schemas.openxmlformats.org/officeDocument/2006/relationships/chart" Target="../charts/chart73.xml"/></Relationships>
</file>

<file path=xl/drawings/_rels/drawing6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8.xml"/><Relationship Id="rId2" Type="http://schemas.openxmlformats.org/officeDocument/2006/relationships/chart" Target="../charts/chart77.xml"/><Relationship Id="rId1" Type="http://schemas.openxmlformats.org/officeDocument/2006/relationships/chart" Target="../charts/chart76.xml"/></Relationships>
</file>

<file path=xl/drawings/_rels/drawing6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1.xml"/><Relationship Id="rId2" Type="http://schemas.openxmlformats.org/officeDocument/2006/relationships/chart" Target="../charts/chart80.xml"/><Relationship Id="rId1" Type="http://schemas.openxmlformats.org/officeDocument/2006/relationships/chart" Target="../charts/chart79.xml"/></Relationships>
</file>

<file path=xl/drawings/_rels/drawing7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4.xml"/><Relationship Id="rId2" Type="http://schemas.openxmlformats.org/officeDocument/2006/relationships/chart" Target="../charts/chart83.xml"/><Relationship Id="rId1" Type="http://schemas.openxmlformats.org/officeDocument/2006/relationships/chart" Target="../charts/chart82.xml"/></Relationships>
</file>

<file path=xl/drawings/_rels/drawing7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7.xml"/><Relationship Id="rId2" Type="http://schemas.openxmlformats.org/officeDocument/2006/relationships/chart" Target="../charts/chart86.xml"/><Relationship Id="rId1" Type="http://schemas.openxmlformats.org/officeDocument/2006/relationships/chart" Target="../charts/chart85.xml"/></Relationships>
</file>

<file path=xl/drawings/_rels/drawing7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0.xml"/><Relationship Id="rId2" Type="http://schemas.openxmlformats.org/officeDocument/2006/relationships/chart" Target="../charts/chart89.xml"/><Relationship Id="rId1" Type="http://schemas.openxmlformats.org/officeDocument/2006/relationships/chart" Target="../charts/chart88.xml"/></Relationships>
</file>

<file path=xl/drawings/_rels/drawing8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3.xml"/><Relationship Id="rId2" Type="http://schemas.openxmlformats.org/officeDocument/2006/relationships/chart" Target="../charts/chart92.xml"/><Relationship Id="rId1" Type="http://schemas.openxmlformats.org/officeDocument/2006/relationships/chart" Target="../charts/chart91.xml"/></Relationships>
</file>

<file path=xl/drawings/_rels/drawing8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6.xml"/><Relationship Id="rId2" Type="http://schemas.openxmlformats.org/officeDocument/2006/relationships/chart" Target="../charts/chart95.xml"/><Relationship Id="rId1" Type="http://schemas.openxmlformats.org/officeDocument/2006/relationships/chart" Target="../charts/chart94.xml"/></Relationships>
</file>

<file path=xl/drawings/_rels/drawing8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9.xml"/><Relationship Id="rId2" Type="http://schemas.openxmlformats.org/officeDocument/2006/relationships/chart" Target="../charts/chart98.xml"/><Relationship Id="rId1" Type="http://schemas.openxmlformats.org/officeDocument/2006/relationships/chart" Target="../charts/chart97.xml"/></Relationships>
</file>

<file path=xl/drawings/_rels/drawing9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2.xml"/><Relationship Id="rId2" Type="http://schemas.openxmlformats.org/officeDocument/2006/relationships/chart" Target="../charts/chart101.xml"/><Relationship Id="rId1" Type="http://schemas.openxmlformats.org/officeDocument/2006/relationships/chart" Target="../charts/chart100.xml"/></Relationships>
</file>

<file path=xl/drawings/_rels/drawing9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5.xml"/><Relationship Id="rId2" Type="http://schemas.openxmlformats.org/officeDocument/2006/relationships/chart" Target="../charts/chart104.xml"/><Relationship Id="rId1" Type="http://schemas.openxmlformats.org/officeDocument/2006/relationships/chart" Target="../charts/chart10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0</xdr:row>
      <xdr:rowOff>121920</xdr:rowOff>
    </xdr:from>
    <xdr:to>
      <xdr:col>27</xdr:col>
      <xdr:colOff>36195</xdr:colOff>
      <xdr:row>14</xdr:row>
      <xdr:rowOff>62865</xdr:rowOff>
    </xdr:to>
    <xdr:graphicFrame macro="">
      <xdr:nvGraphicFramePr>
        <xdr:cNvPr id="2" name="Chart 14">
          <a:extLst>
            <a:ext uri="{FF2B5EF4-FFF2-40B4-BE49-F238E27FC236}">
              <a16:creationId xmlns:a16="http://schemas.microsoft.com/office/drawing/2014/main" xmlns="" id="{00000000-0008-0000-01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121920</xdr:colOff>
      <xdr:row>0</xdr:row>
      <xdr:rowOff>60960</xdr:rowOff>
    </xdr:from>
    <xdr:to>
      <xdr:col>17</xdr:col>
      <xdr:colOff>350520</xdr:colOff>
      <xdr:row>14</xdr:row>
      <xdr:rowOff>15240</xdr:rowOff>
    </xdr:to>
    <xdr:graphicFrame macro="">
      <xdr:nvGraphicFramePr>
        <xdr:cNvPr id="3" name="Chart 12">
          <a:extLst>
            <a:ext uri="{FF2B5EF4-FFF2-40B4-BE49-F238E27FC236}">
              <a16:creationId xmlns:a16="http://schemas.microsoft.com/office/drawing/2014/main" xmlns="" id="{0242432C-7DFD-45A3-B78C-955E071C83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426720</xdr:colOff>
      <xdr:row>0</xdr:row>
      <xdr:rowOff>137160</xdr:rowOff>
    </xdr:from>
    <xdr:to>
      <xdr:col>7</xdr:col>
      <xdr:colOff>607695</xdr:colOff>
      <xdr:row>14</xdr:row>
      <xdr:rowOff>7620</xdr:rowOff>
    </xdr:to>
    <xdr:graphicFrame macro="">
      <xdr:nvGraphicFramePr>
        <xdr:cNvPr id="4" name="Chart 13">
          <a:extLst>
            <a:ext uri="{FF2B5EF4-FFF2-40B4-BE49-F238E27FC236}">
              <a16:creationId xmlns:a16="http://schemas.microsoft.com/office/drawing/2014/main" xmlns="" id="{00000000-0008-0000-01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18</xdr:row>
      <xdr:rowOff>0</xdr:rowOff>
    </xdr:from>
    <xdr:to>
      <xdr:col>7</xdr:col>
      <xdr:colOff>548640</xdr:colOff>
      <xdr:row>30</xdr:row>
      <xdr:rowOff>127636</xdr:rowOff>
    </xdr:to>
    <xdr:graphicFrame macro="">
      <xdr:nvGraphicFramePr>
        <xdr:cNvPr id="5" name="Chart 13">
          <a:extLst>
            <a:ext uri="{FF2B5EF4-FFF2-40B4-BE49-F238E27FC236}">
              <a16:creationId xmlns:a16="http://schemas.microsoft.com/office/drawing/2014/main" xmlns="" id="{00000000-0008-0000-01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251460</xdr:colOff>
      <xdr:row>18</xdr:row>
      <xdr:rowOff>190500</xdr:rowOff>
    </xdr:from>
    <xdr:to>
      <xdr:col>4</xdr:col>
      <xdr:colOff>260509</xdr:colOff>
      <xdr:row>20</xdr:row>
      <xdr:rowOff>86462</xdr:rowOff>
    </xdr:to>
    <xdr:sp macro="" textlink="">
      <xdr:nvSpPr>
        <xdr:cNvPr id="6" name="TextBox 15"/>
        <xdr:cNvSpPr txBox="1"/>
      </xdr:nvSpPr>
      <xdr:spPr>
        <a:xfrm>
          <a:off x="1592580" y="3756660"/>
          <a:ext cx="1350169" cy="29220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ro-RO" sz="1100" b="1" baseline="0"/>
            <a:t>MEA = 30%</a:t>
          </a:r>
          <a:endParaRPr lang="en-US" sz="1100" b="1"/>
        </a:p>
      </xdr:txBody>
    </xdr:sp>
    <xdr:clientData/>
  </xdr:twoCellAnchor>
  <xdr:twoCellAnchor>
    <xdr:from>
      <xdr:col>10</xdr:col>
      <xdr:colOff>0</xdr:colOff>
      <xdr:row>18</xdr:row>
      <xdr:rowOff>0</xdr:rowOff>
    </xdr:from>
    <xdr:to>
      <xdr:col>17</xdr:col>
      <xdr:colOff>289560</xdr:colOff>
      <xdr:row>31</xdr:row>
      <xdr:rowOff>0</xdr:rowOff>
    </xdr:to>
    <xdr:graphicFrame macro="">
      <xdr:nvGraphicFramePr>
        <xdr:cNvPr id="7" name="Chart 12">
          <a:extLst>
            <a:ext uri="{FF2B5EF4-FFF2-40B4-BE49-F238E27FC236}">
              <a16:creationId xmlns:a16="http://schemas.microsoft.com/office/drawing/2014/main" xmlns="" id="{0242432C-7DFD-45A3-B78C-955E071C83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53340</xdr:colOff>
      <xdr:row>18</xdr:row>
      <xdr:rowOff>45721</xdr:rowOff>
    </xdr:from>
    <xdr:to>
      <xdr:col>27</xdr:col>
      <xdr:colOff>20955</xdr:colOff>
      <xdr:row>31</xdr:row>
      <xdr:rowOff>7621</xdr:rowOff>
    </xdr:to>
    <xdr:graphicFrame macro="">
      <xdr:nvGraphicFramePr>
        <xdr:cNvPr id="8" name="Chart 14">
          <a:extLst>
            <a:ext uri="{FF2B5EF4-FFF2-40B4-BE49-F238E27FC236}">
              <a16:creationId xmlns:a16="http://schemas.microsoft.com/office/drawing/2014/main" xmlns="" id="{00000000-0008-0000-01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0</xdr:colOff>
      <xdr:row>32</xdr:row>
      <xdr:rowOff>106680</xdr:rowOff>
    </xdr:from>
    <xdr:to>
      <xdr:col>17</xdr:col>
      <xdr:colOff>274320</xdr:colOff>
      <xdr:row>46</xdr:row>
      <xdr:rowOff>15240</xdr:rowOff>
    </xdr:to>
    <xdr:graphicFrame macro="">
      <xdr:nvGraphicFramePr>
        <xdr:cNvPr id="9" name="Chart 12">
          <a:extLst>
            <a:ext uri="{FF2B5EF4-FFF2-40B4-BE49-F238E27FC236}">
              <a16:creationId xmlns:a16="http://schemas.microsoft.com/office/drawing/2014/main" xmlns="" id="{0242432C-7DFD-45A3-B78C-955E071C83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640080</xdr:colOff>
      <xdr:row>32</xdr:row>
      <xdr:rowOff>106680</xdr:rowOff>
    </xdr:from>
    <xdr:to>
      <xdr:col>27</xdr:col>
      <xdr:colOff>5715</xdr:colOff>
      <xdr:row>46</xdr:row>
      <xdr:rowOff>47625</xdr:rowOff>
    </xdr:to>
    <xdr:graphicFrame macro="">
      <xdr:nvGraphicFramePr>
        <xdr:cNvPr id="10" name="Chart 14">
          <a:extLst>
            <a:ext uri="{FF2B5EF4-FFF2-40B4-BE49-F238E27FC236}">
              <a16:creationId xmlns:a16="http://schemas.microsoft.com/office/drawing/2014/main" xmlns="" id="{00000000-0008-0000-01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15240</xdr:colOff>
      <xdr:row>32</xdr:row>
      <xdr:rowOff>45720</xdr:rowOff>
    </xdr:from>
    <xdr:to>
      <xdr:col>7</xdr:col>
      <xdr:colOff>563880</xdr:colOff>
      <xdr:row>45</xdr:row>
      <xdr:rowOff>170497</xdr:rowOff>
    </xdr:to>
    <xdr:graphicFrame macro="">
      <xdr:nvGraphicFramePr>
        <xdr:cNvPr id="11" name="Chart 13">
          <a:extLst>
            <a:ext uri="{FF2B5EF4-FFF2-40B4-BE49-F238E27FC236}">
              <a16:creationId xmlns:a16="http://schemas.microsoft.com/office/drawing/2014/main" xmlns="" id="{00000000-0008-0000-01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198120</xdr:colOff>
      <xdr:row>33</xdr:row>
      <xdr:rowOff>137160</xdr:rowOff>
    </xdr:from>
    <xdr:to>
      <xdr:col>4</xdr:col>
      <xdr:colOff>207169</xdr:colOff>
      <xdr:row>35</xdr:row>
      <xdr:rowOff>33122</xdr:rowOff>
    </xdr:to>
    <xdr:sp macro="" textlink="">
      <xdr:nvSpPr>
        <xdr:cNvPr id="12" name="TextBox 15"/>
        <xdr:cNvSpPr txBox="1"/>
      </xdr:nvSpPr>
      <xdr:spPr>
        <a:xfrm>
          <a:off x="1539240" y="6675120"/>
          <a:ext cx="1350169" cy="29220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ro-RO" sz="1100" b="1" baseline="0"/>
            <a:t>DEA = 30%</a:t>
          </a:r>
          <a:endParaRPr lang="en-US" sz="1100" b="1"/>
        </a:p>
      </xdr:txBody>
    </xdr:sp>
    <xdr:clientData/>
  </xdr:twoCellAnchor>
  <xdr:twoCellAnchor>
    <xdr:from>
      <xdr:col>1</xdr:col>
      <xdr:colOff>0</xdr:colOff>
      <xdr:row>48</xdr:row>
      <xdr:rowOff>0</xdr:rowOff>
    </xdr:from>
    <xdr:to>
      <xdr:col>8</xdr:col>
      <xdr:colOff>449579</xdr:colOff>
      <xdr:row>61</xdr:row>
      <xdr:rowOff>166052</xdr:rowOff>
    </xdr:to>
    <xdr:graphicFrame macro="">
      <xdr:nvGraphicFramePr>
        <xdr:cNvPr id="13" name="Chart 13">
          <a:extLst>
            <a:ext uri="{FF2B5EF4-FFF2-40B4-BE49-F238E27FC236}">
              <a16:creationId xmlns:a16="http://schemas.microsoft.com/office/drawing/2014/main" xmlns="" id="{00000000-0008-0000-01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0</xdr:colOff>
      <xdr:row>49</xdr:row>
      <xdr:rowOff>0</xdr:rowOff>
    </xdr:from>
    <xdr:to>
      <xdr:col>17</xdr:col>
      <xdr:colOff>259080</xdr:colOff>
      <xdr:row>62</xdr:row>
      <xdr:rowOff>167640</xdr:rowOff>
    </xdr:to>
    <xdr:graphicFrame macro="">
      <xdr:nvGraphicFramePr>
        <xdr:cNvPr id="14" name="Chart 12">
          <a:extLst>
            <a:ext uri="{FF2B5EF4-FFF2-40B4-BE49-F238E27FC236}">
              <a16:creationId xmlns:a16="http://schemas.microsoft.com/office/drawing/2014/main" xmlns="" id="{0242432C-7DFD-45A3-B78C-955E071C83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18</xdr:col>
      <xdr:colOff>655320</xdr:colOff>
      <xdr:row>49</xdr:row>
      <xdr:rowOff>45720</xdr:rowOff>
    </xdr:from>
    <xdr:to>
      <xdr:col>27</xdr:col>
      <xdr:colOff>20955</xdr:colOff>
      <xdr:row>62</xdr:row>
      <xdr:rowOff>184785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xmlns="" id="{00000000-0008-0000-01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0</xdr:colOff>
      <xdr:row>66</xdr:row>
      <xdr:rowOff>0</xdr:rowOff>
    </xdr:from>
    <xdr:to>
      <xdr:col>8</xdr:col>
      <xdr:colOff>449579</xdr:colOff>
      <xdr:row>79</xdr:row>
      <xdr:rowOff>166052</xdr:rowOff>
    </xdr:to>
    <xdr:graphicFrame macro="">
      <xdr:nvGraphicFramePr>
        <xdr:cNvPr id="16" name="Chart 13">
          <a:extLst>
            <a:ext uri="{FF2B5EF4-FFF2-40B4-BE49-F238E27FC236}">
              <a16:creationId xmlns:a16="http://schemas.microsoft.com/office/drawing/2014/main" xmlns="" id="{00000000-0008-0000-01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</xdr:col>
      <xdr:colOff>0</xdr:colOff>
      <xdr:row>66</xdr:row>
      <xdr:rowOff>0</xdr:rowOff>
    </xdr:from>
    <xdr:to>
      <xdr:col>17</xdr:col>
      <xdr:colOff>274320</xdr:colOff>
      <xdr:row>79</xdr:row>
      <xdr:rowOff>152400</xdr:rowOff>
    </xdr:to>
    <xdr:graphicFrame macro="">
      <xdr:nvGraphicFramePr>
        <xdr:cNvPr id="17" name="Chart 12">
          <a:extLst>
            <a:ext uri="{FF2B5EF4-FFF2-40B4-BE49-F238E27FC236}">
              <a16:creationId xmlns:a16="http://schemas.microsoft.com/office/drawing/2014/main" xmlns="" id="{0242432C-7DFD-45A3-B78C-955E071C83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18</xdr:col>
      <xdr:colOff>640080</xdr:colOff>
      <xdr:row>65</xdr:row>
      <xdr:rowOff>182880</xdr:rowOff>
    </xdr:from>
    <xdr:to>
      <xdr:col>27</xdr:col>
      <xdr:colOff>5715</xdr:colOff>
      <xdr:row>79</xdr:row>
      <xdr:rowOff>123825</xdr:rowOff>
    </xdr:to>
    <xdr:graphicFrame macro="">
      <xdr:nvGraphicFramePr>
        <xdr:cNvPr id="18" name="Chart 14">
          <a:extLst>
            <a:ext uri="{FF2B5EF4-FFF2-40B4-BE49-F238E27FC236}">
              <a16:creationId xmlns:a16="http://schemas.microsoft.com/office/drawing/2014/main" xmlns="" id="{00000000-0008-0000-01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0</xdr:colOff>
      <xdr:row>83</xdr:row>
      <xdr:rowOff>0</xdr:rowOff>
    </xdr:from>
    <xdr:to>
      <xdr:col>7</xdr:col>
      <xdr:colOff>548640</xdr:colOff>
      <xdr:row>96</xdr:row>
      <xdr:rowOff>124777</xdr:rowOff>
    </xdr:to>
    <xdr:graphicFrame macro="">
      <xdr:nvGraphicFramePr>
        <xdr:cNvPr id="19" name="Chart 13">
          <a:extLst>
            <a:ext uri="{FF2B5EF4-FFF2-40B4-BE49-F238E27FC236}">
              <a16:creationId xmlns:a16="http://schemas.microsoft.com/office/drawing/2014/main" xmlns="" id="{00000000-0008-0000-01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10</xdr:col>
      <xdr:colOff>0</xdr:colOff>
      <xdr:row>83</xdr:row>
      <xdr:rowOff>0</xdr:rowOff>
    </xdr:from>
    <xdr:to>
      <xdr:col>17</xdr:col>
      <xdr:colOff>198120</xdr:colOff>
      <xdr:row>96</xdr:row>
      <xdr:rowOff>121920</xdr:rowOff>
    </xdr:to>
    <xdr:graphicFrame macro="">
      <xdr:nvGraphicFramePr>
        <xdr:cNvPr id="20" name="Chart 12">
          <a:extLst>
            <a:ext uri="{FF2B5EF4-FFF2-40B4-BE49-F238E27FC236}">
              <a16:creationId xmlns:a16="http://schemas.microsoft.com/office/drawing/2014/main" xmlns="" id="{0242432C-7DFD-45A3-B78C-955E071C83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18</xdr:col>
      <xdr:colOff>640080</xdr:colOff>
      <xdr:row>83</xdr:row>
      <xdr:rowOff>45720</xdr:rowOff>
    </xdr:from>
    <xdr:to>
      <xdr:col>27</xdr:col>
      <xdr:colOff>5715</xdr:colOff>
      <xdr:row>96</xdr:row>
      <xdr:rowOff>184785</xdr:rowOff>
    </xdr:to>
    <xdr:graphicFrame macro="">
      <xdr:nvGraphicFramePr>
        <xdr:cNvPr id="21" name="Chart 14">
          <a:extLst>
            <a:ext uri="{FF2B5EF4-FFF2-40B4-BE49-F238E27FC236}">
              <a16:creationId xmlns:a16="http://schemas.microsoft.com/office/drawing/2014/main" xmlns="" id="{00000000-0008-0000-01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0</xdr:colOff>
      <xdr:row>99</xdr:row>
      <xdr:rowOff>0</xdr:rowOff>
    </xdr:from>
    <xdr:to>
      <xdr:col>7</xdr:col>
      <xdr:colOff>586740</xdr:colOff>
      <xdr:row>112</xdr:row>
      <xdr:rowOff>166052</xdr:rowOff>
    </xdr:to>
    <xdr:graphicFrame macro="">
      <xdr:nvGraphicFramePr>
        <xdr:cNvPr id="22" name="Chart 13">
          <a:extLst>
            <a:ext uri="{FF2B5EF4-FFF2-40B4-BE49-F238E27FC236}">
              <a16:creationId xmlns:a16="http://schemas.microsoft.com/office/drawing/2014/main" xmlns="" id="{00000000-0008-0000-01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10</xdr:col>
      <xdr:colOff>0</xdr:colOff>
      <xdr:row>99</xdr:row>
      <xdr:rowOff>0</xdr:rowOff>
    </xdr:from>
    <xdr:to>
      <xdr:col>17</xdr:col>
      <xdr:colOff>274320</xdr:colOff>
      <xdr:row>112</xdr:row>
      <xdr:rowOff>152400</xdr:rowOff>
    </xdr:to>
    <xdr:graphicFrame macro="">
      <xdr:nvGraphicFramePr>
        <xdr:cNvPr id="23" name="Chart 12">
          <a:extLst>
            <a:ext uri="{FF2B5EF4-FFF2-40B4-BE49-F238E27FC236}">
              <a16:creationId xmlns:a16="http://schemas.microsoft.com/office/drawing/2014/main" xmlns="" id="{0242432C-7DFD-45A3-B78C-955E071C83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19</xdr:col>
      <xdr:colOff>0</xdr:colOff>
      <xdr:row>99</xdr:row>
      <xdr:rowOff>0</xdr:rowOff>
    </xdr:from>
    <xdr:to>
      <xdr:col>27</xdr:col>
      <xdr:colOff>39370</xdr:colOff>
      <xdr:row>112</xdr:row>
      <xdr:rowOff>180340</xdr:rowOff>
    </xdr:to>
    <xdr:graphicFrame macro="">
      <xdr:nvGraphicFramePr>
        <xdr:cNvPr id="24" name="Chart 14">
          <a:extLst>
            <a:ext uri="{FF2B5EF4-FFF2-40B4-BE49-F238E27FC236}">
              <a16:creationId xmlns:a16="http://schemas.microsoft.com/office/drawing/2014/main" xmlns="" id="{00000000-0008-0000-01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18</xdr:col>
      <xdr:colOff>640080</xdr:colOff>
      <xdr:row>115</xdr:row>
      <xdr:rowOff>15240</xdr:rowOff>
    </xdr:from>
    <xdr:to>
      <xdr:col>27</xdr:col>
      <xdr:colOff>8890</xdr:colOff>
      <xdr:row>128</xdr:row>
      <xdr:rowOff>195580</xdr:rowOff>
    </xdr:to>
    <xdr:graphicFrame macro="">
      <xdr:nvGraphicFramePr>
        <xdr:cNvPr id="25" name="Chart 14">
          <a:extLst>
            <a:ext uri="{FF2B5EF4-FFF2-40B4-BE49-F238E27FC236}">
              <a16:creationId xmlns:a16="http://schemas.microsoft.com/office/drawing/2014/main" xmlns="" id="{00000000-0008-0000-01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10</xdr:col>
      <xdr:colOff>0</xdr:colOff>
      <xdr:row>115</xdr:row>
      <xdr:rowOff>0</xdr:rowOff>
    </xdr:from>
    <xdr:to>
      <xdr:col>17</xdr:col>
      <xdr:colOff>304800</xdr:colOff>
      <xdr:row>129</xdr:row>
      <xdr:rowOff>30480</xdr:rowOff>
    </xdr:to>
    <xdr:graphicFrame macro="">
      <xdr:nvGraphicFramePr>
        <xdr:cNvPr id="26" name="Chart 12">
          <a:extLst>
            <a:ext uri="{FF2B5EF4-FFF2-40B4-BE49-F238E27FC236}">
              <a16:creationId xmlns:a16="http://schemas.microsoft.com/office/drawing/2014/main" xmlns="" id="{0242432C-7DFD-45A3-B78C-955E071C83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0</xdr:col>
      <xdr:colOff>655320</xdr:colOff>
      <xdr:row>114</xdr:row>
      <xdr:rowOff>137160</xdr:rowOff>
    </xdr:from>
    <xdr:to>
      <xdr:col>8</xdr:col>
      <xdr:colOff>167640</xdr:colOff>
      <xdr:row>128</xdr:row>
      <xdr:rowOff>182880</xdr:rowOff>
    </xdr:to>
    <xdr:graphicFrame macro="">
      <xdr:nvGraphicFramePr>
        <xdr:cNvPr id="27" name="Chart 13">
          <a:extLst>
            <a:ext uri="{FF2B5EF4-FFF2-40B4-BE49-F238E27FC236}">
              <a16:creationId xmlns:a16="http://schemas.microsoft.com/office/drawing/2014/main" xmlns="" id="{00000000-0008-0000-01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</xdr:col>
      <xdr:colOff>0</xdr:colOff>
      <xdr:row>132</xdr:row>
      <xdr:rowOff>0</xdr:rowOff>
    </xdr:from>
    <xdr:to>
      <xdr:col>8</xdr:col>
      <xdr:colOff>289560</xdr:colOff>
      <xdr:row>145</xdr:row>
      <xdr:rowOff>182880</xdr:rowOff>
    </xdr:to>
    <xdr:graphicFrame macro="">
      <xdr:nvGraphicFramePr>
        <xdr:cNvPr id="28" name="Chart 13">
          <a:extLst>
            <a:ext uri="{FF2B5EF4-FFF2-40B4-BE49-F238E27FC236}">
              <a16:creationId xmlns:a16="http://schemas.microsoft.com/office/drawing/2014/main" xmlns="" id="{00000000-0008-0000-01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10</xdr:col>
      <xdr:colOff>0</xdr:colOff>
      <xdr:row>132</xdr:row>
      <xdr:rowOff>0</xdr:rowOff>
    </xdr:from>
    <xdr:to>
      <xdr:col>17</xdr:col>
      <xdr:colOff>259080</xdr:colOff>
      <xdr:row>145</xdr:row>
      <xdr:rowOff>106680</xdr:rowOff>
    </xdr:to>
    <xdr:graphicFrame macro="">
      <xdr:nvGraphicFramePr>
        <xdr:cNvPr id="29" name="Chart 12">
          <a:extLst>
            <a:ext uri="{FF2B5EF4-FFF2-40B4-BE49-F238E27FC236}">
              <a16:creationId xmlns:a16="http://schemas.microsoft.com/office/drawing/2014/main" xmlns="" id="{0242432C-7DFD-45A3-B78C-955E071C83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19</xdr:col>
      <xdr:colOff>0</xdr:colOff>
      <xdr:row>131</xdr:row>
      <xdr:rowOff>1</xdr:rowOff>
    </xdr:from>
    <xdr:to>
      <xdr:col>26</xdr:col>
      <xdr:colOff>624840</xdr:colOff>
      <xdr:row>144</xdr:row>
      <xdr:rowOff>30481</xdr:rowOff>
    </xdr:to>
    <xdr:graphicFrame macro="">
      <xdr:nvGraphicFramePr>
        <xdr:cNvPr id="30" name="Chart 13">
          <a:extLst>
            <a:ext uri="{FF2B5EF4-FFF2-40B4-BE49-F238E27FC236}">
              <a16:creationId xmlns:a16="http://schemas.microsoft.com/office/drawing/2014/main" xmlns="" id="{00000000-0008-0000-01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</xdr:col>
      <xdr:colOff>0</xdr:colOff>
      <xdr:row>133</xdr:row>
      <xdr:rowOff>60960</xdr:rowOff>
    </xdr:from>
    <xdr:to>
      <xdr:col>3</xdr:col>
      <xdr:colOff>520065</xdr:colOff>
      <xdr:row>134</xdr:row>
      <xdr:rowOff>150600</xdr:rowOff>
    </xdr:to>
    <xdr:sp macro="" textlink="">
      <xdr:nvSpPr>
        <xdr:cNvPr id="31" name="TextBox 15"/>
        <xdr:cNvSpPr txBox="1"/>
      </xdr:nvSpPr>
      <xdr:spPr>
        <a:xfrm>
          <a:off x="1341120" y="26410920"/>
          <a:ext cx="1190625" cy="2877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ro-RO" sz="1100" b="1"/>
            <a:t>MEA</a:t>
          </a:r>
          <a:r>
            <a:rPr lang="ro-RO" sz="1100" b="1" baseline="0"/>
            <a:t> = 10%</a:t>
          </a:r>
          <a:endParaRPr lang="en-US" sz="1100" b="1"/>
        </a:p>
      </xdr:txBody>
    </xdr:sp>
    <xdr:clientData/>
  </xdr:twoCellAnchor>
  <xdr:twoCellAnchor>
    <xdr:from>
      <xdr:col>24</xdr:col>
      <xdr:colOff>457200</xdr:colOff>
      <xdr:row>138</xdr:row>
      <xdr:rowOff>121920</xdr:rowOff>
    </xdr:from>
    <xdr:to>
      <xdr:col>26</xdr:col>
      <xdr:colOff>306705</xdr:colOff>
      <xdr:row>140</xdr:row>
      <xdr:rowOff>13440</xdr:rowOff>
    </xdr:to>
    <xdr:sp macro="" textlink="">
      <xdr:nvSpPr>
        <xdr:cNvPr id="32" name="TextBox 15"/>
        <xdr:cNvSpPr txBox="1"/>
      </xdr:nvSpPr>
      <xdr:spPr>
        <a:xfrm>
          <a:off x="16550640" y="27462480"/>
          <a:ext cx="1190625" cy="2877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ro-RO" sz="1100" b="1"/>
            <a:t>MEA</a:t>
          </a:r>
          <a:r>
            <a:rPr lang="ro-RO" sz="1100" b="1" baseline="0"/>
            <a:t> = 10%</a:t>
          </a:r>
          <a:endParaRPr lang="en-US" sz="1100" b="1"/>
        </a:p>
      </xdr:txBody>
    </xdr:sp>
    <xdr:clientData/>
  </xdr:twoCellAnchor>
  <xdr:twoCellAnchor>
    <xdr:from>
      <xdr:col>0</xdr:col>
      <xdr:colOff>579120</xdr:colOff>
      <xdr:row>146</xdr:row>
      <xdr:rowOff>182880</xdr:rowOff>
    </xdr:from>
    <xdr:to>
      <xdr:col>8</xdr:col>
      <xdr:colOff>182880</xdr:colOff>
      <xdr:row>161</xdr:row>
      <xdr:rowOff>0</xdr:rowOff>
    </xdr:to>
    <xdr:graphicFrame macro="">
      <xdr:nvGraphicFramePr>
        <xdr:cNvPr id="33" name="Chart 13">
          <a:extLst>
            <a:ext uri="{FF2B5EF4-FFF2-40B4-BE49-F238E27FC236}">
              <a16:creationId xmlns:a16="http://schemas.microsoft.com/office/drawing/2014/main" xmlns="" id="{00000000-0008-0000-01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10</xdr:col>
      <xdr:colOff>0</xdr:colOff>
      <xdr:row>148</xdr:row>
      <xdr:rowOff>1</xdr:rowOff>
    </xdr:from>
    <xdr:to>
      <xdr:col>17</xdr:col>
      <xdr:colOff>228600</xdr:colOff>
      <xdr:row>161</xdr:row>
      <xdr:rowOff>0</xdr:rowOff>
    </xdr:to>
    <xdr:graphicFrame macro="">
      <xdr:nvGraphicFramePr>
        <xdr:cNvPr id="34" name="Chart 12">
          <a:extLst>
            <a:ext uri="{FF2B5EF4-FFF2-40B4-BE49-F238E27FC236}">
              <a16:creationId xmlns:a16="http://schemas.microsoft.com/office/drawing/2014/main" xmlns="" id="{0242432C-7DFD-45A3-B78C-955E071C83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19</xdr:col>
      <xdr:colOff>0</xdr:colOff>
      <xdr:row>147</xdr:row>
      <xdr:rowOff>0</xdr:rowOff>
    </xdr:from>
    <xdr:to>
      <xdr:col>27</xdr:col>
      <xdr:colOff>39370</xdr:colOff>
      <xdr:row>160</xdr:row>
      <xdr:rowOff>180340</xdr:rowOff>
    </xdr:to>
    <xdr:graphicFrame macro="">
      <xdr:nvGraphicFramePr>
        <xdr:cNvPr id="35" name="Chart 14">
          <a:extLst>
            <a:ext uri="{FF2B5EF4-FFF2-40B4-BE49-F238E27FC236}">
              <a16:creationId xmlns:a16="http://schemas.microsoft.com/office/drawing/2014/main" xmlns="" id="{00000000-0008-0000-01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</xdr:col>
      <xdr:colOff>0</xdr:colOff>
      <xdr:row>164</xdr:row>
      <xdr:rowOff>0</xdr:rowOff>
    </xdr:from>
    <xdr:to>
      <xdr:col>7</xdr:col>
      <xdr:colOff>453389</xdr:colOff>
      <xdr:row>177</xdr:row>
      <xdr:rowOff>166052</xdr:rowOff>
    </xdr:to>
    <xdr:graphicFrame macro="">
      <xdr:nvGraphicFramePr>
        <xdr:cNvPr id="36" name="Chart 13">
          <a:extLst>
            <a:ext uri="{FF2B5EF4-FFF2-40B4-BE49-F238E27FC236}">
              <a16:creationId xmlns:a16="http://schemas.microsoft.com/office/drawing/2014/main" xmlns="" id="{00000000-0008-0000-01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10</xdr:col>
      <xdr:colOff>0</xdr:colOff>
      <xdr:row>164</xdr:row>
      <xdr:rowOff>1</xdr:rowOff>
    </xdr:from>
    <xdr:to>
      <xdr:col>17</xdr:col>
      <xdr:colOff>167640</xdr:colOff>
      <xdr:row>177</xdr:row>
      <xdr:rowOff>121921</xdr:rowOff>
    </xdr:to>
    <xdr:graphicFrame macro="">
      <xdr:nvGraphicFramePr>
        <xdr:cNvPr id="37" name="Chart 12">
          <a:extLst>
            <a:ext uri="{FF2B5EF4-FFF2-40B4-BE49-F238E27FC236}">
              <a16:creationId xmlns:a16="http://schemas.microsoft.com/office/drawing/2014/main" xmlns="" id="{0242432C-7DFD-45A3-B78C-955E071C83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19</xdr:col>
      <xdr:colOff>0</xdr:colOff>
      <xdr:row>164</xdr:row>
      <xdr:rowOff>0</xdr:rowOff>
    </xdr:from>
    <xdr:to>
      <xdr:col>27</xdr:col>
      <xdr:colOff>39370</xdr:colOff>
      <xdr:row>177</xdr:row>
      <xdr:rowOff>180340</xdr:rowOff>
    </xdr:to>
    <xdr:graphicFrame macro="">
      <xdr:nvGraphicFramePr>
        <xdr:cNvPr id="38" name="Chart 14">
          <a:extLst>
            <a:ext uri="{FF2B5EF4-FFF2-40B4-BE49-F238E27FC236}">
              <a16:creationId xmlns:a16="http://schemas.microsoft.com/office/drawing/2014/main" xmlns="" id="{00000000-0008-0000-01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</xdr:col>
      <xdr:colOff>0</xdr:colOff>
      <xdr:row>180</xdr:row>
      <xdr:rowOff>0</xdr:rowOff>
    </xdr:from>
    <xdr:to>
      <xdr:col>7</xdr:col>
      <xdr:colOff>453389</xdr:colOff>
      <xdr:row>193</xdr:row>
      <xdr:rowOff>166052</xdr:rowOff>
    </xdr:to>
    <xdr:graphicFrame macro="">
      <xdr:nvGraphicFramePr>
        <xdr:cNvPr id="39" name="Chart 13">
          <a:extLst>
            <a:ext uri="{FF2B5EF4-FFF2-40B4-BE49-F238E27FC236}">
              <a16:creationId xmlns:a16="http://schemas.microsoft.com/office/drawing/2014/main" xmlns="" id="{00000000-0008-0000-01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10</xdr:col>
      <xdr:colOff>0</xdr:colOff>
      <xdr:row>181</xdr:row>
      <xdr:rowOff>0</xdr:rowOff>
    </xdr:from>
    <xdr:to>
      <xdr:col>17</xdr:col>
      <xdr:colOff>125730</xdr:colOff>
      <xdr:row>194</xdr:row>
      <xdr:rowOff>139065</xdr:rowOff>
    </xdr:to>
    <xdr:graphicFrame macro="">
      <xdr:nvGraphicFramePr>
        <xdr:cNvPr id="40" name="Chart 12">
          <a:extLst>
            <a:ext uri="{FF2B5EF4-FFF2-40B4-BE49-F238E27FC236}">
              <a16:creationId xmlns:a16="http://schemas.microsoft.com/office/drawing/2014/main" xmlns="" id="{0242432C-7DFD-45A3-B78C-955E071C83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19</xdr:col>
      <xdr:colOff>0</xdr:colOff>
      <xdr:row>181</xdr:row>
      <xdr:rowOff>0</xdr:rowOff>
    </xdr:from>
    <xdr:to>
      <xdr:col>27</xdr:col>
      <xdr:colOff>39370</xdr:colOff>
      <xdr:row>194</xdr:row>
      <xdr:rowOff>180340</xdr:rowOff>
    </xdr:to>
    <xdr:graphicFrame macro="">
      <xdr:nvGraphicFramePr>
        <xdr:cNvPr id="42" name="Chart 14">
          <a:extLst>
            <a:ext uri="{FF2B5EF4-FFF2-40B4-BE49-F238E27FC236}">
              <a16:creationId xmlns:a16="http://schemas.microsoft.com/office/drawing/2014/main" xmlns="" id="{00000000-0008-0000-01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1</xdr:col>
      <xdr:colOff>0</xdr:colOff>
      <xdr:row>196</xdr:row>
      <xdr:rowOff>0</xdr:rowOff>
    </xdr:from>
    <xdr:to>
      <xdr:col>7</xdr:col>
      <xdr:colOff>453389</xdr:colOff>
      <xdr:row>209</xdr:row>
      <xdr:rowOff>166052</xdr:rowOff>
    </xdr:to>
    <xdr:graphicFrame macro="">
      <xdr:nvGraphicFramePr>
        <xdr:cNvPr id="43" name="Chart 13">
          <a:extLst>
            <a:ext uri="{FF2B5EF4-FFF2-40B4-BE49-F238E27FC236}">
              <a16:creationId xmlns:a16="http://schemas.microsoft.com/office/drawing/2014/main" xmlns="" id="{00000000-0008-0000-01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10</xdr:col>
      <xdr:colOff>0</xdr:colOff>
      <xdr:row>197</xdr:row>
      <xdr:rowOff>0</xdr:rowOff>
    </xdr:from>
    <xdr:to>
      <xdr:col>17</xdr:col>
      <xdr:colOff>125730</xdr:colOff>
      <xdr:row>210</xdr:row>
      <xdr:rowOff>139065</xdr:rowOff>
    </xdr:to>
    <xdr:graphicFrame macro="">
      <xdr:nvGraphicFramePr>
        <xdr:cNvPr id="45" name="Chart 12">
          <a:extLst>
            <a:ext uri="{FF2B5EF4-FFF2-40B4-BE49-F238E27FC236}">
              <a16:creationId xmlns:a16="http://schemas.microsoft.com/office/drawing/2014/main" xmlns="" id="{0242432C-7DFD-45A3-B78C-955E071C83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19</xdr:col>
      <xdr:colOff>0</xdr:colOff>
      <xdr:row>197</xdr:row>
      <xdr:rowOff>0</xdr:rowOff>
    </xdr:from>
    <xdr:to>
      <xdr:col>27</xdr:col>
      <xdr:colOff>39370</xdr:colOff>
      <xdr:row>210</xdr:row>
      <xdr:rowOff>180340</xdr:rowOff>
    </xdr:to>
    <xdr:graphicFrame macro="">
      <xdr:nvGraphicFramePr>
        <xdr:cNvPr id="46" name="Chart 14">
          <a:extLst>
            <a:ext uri="{FF2B5EF4-FFF2-40B4-BE49-F238E27FC236}">
              <a16:creationId xmlns:a16="http://schemas.microsoft.com/office/drawing/2014/main" xmlns="" id="{00000000-0008-0000-01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1</xdr:col>
      <xdr:colOff>0</xdr:colOff>
      <xdr:row>213</xdr:row>
      <xdr:rowOff>0</xdr:rowOff>
    </xdr:from>
    <xdr:to>
      <xdr:col>7</xdr:col>
      <xdr:colOff>453389</xdr:colOff>
      <xdr:row>226</xdr:row>
      <xdr:rowOff>166052</xdr:rowOff>
    </xdr:to>
    <xdr:graphicFrame macro="">
      <xdr:nvGraphicFramePr>
        <xdr:cNvPr id="47" name="Chart 13">
          <a:extLst>
            <a:ext uri="{FF2B5EF4-FFF2-40B4-BE49-F238E27FC236}">
              <a16:creationId xmlns:a16="http://schemas.microsoft.com/office/drawing/2014/main" xmlns="" id="{00000000-0008-0000-01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10</xdr:col>
      <xdr:colOff>0</xdr:colOff>
      <xdr:row>214</xdr:row>
      <xdr:rowOff>0</xdr:rowOff>
    </xdr:from>
    <xdr:to>
      <xdr:col>17</xdr:col>
      <xdr:colOff>125730</xdr:colOff>
      <xdr:row>227</xdr:row>
      <xdr:rowOff>139065</xdr:rowOff>
    </xdr:to>
    <xdr:graphicFrame macro="">
      <xdr:nvGraphicFramePr>
        <xdr:cNvPr id="48" name="Chart 12">
          <a:extLst>
            <a:ext uri="{FF2B5EF4-FFF2-40B4-BE49-F238E27FC236}">
              <a16:creationId xmlns:a16="http://schemas.microsoft.com/office/drawing/2014/main" xmlns="" id="{0242432C-7DFD-45A3-B78C-955E071C83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20</xdr:col>
      <xdr:colOff>0</xdr:colOff>
      <xdr:row>214</xdr:row>
      <xdr:rowOff>0</xdr:rowOff>
    </xdr:from>
    <xdr:to>
      <xdr:col>28</xdr:col>
      <xdr:colOff>39370</xdr:colOff>
      <xdr:row>227</xdr:row>
      <xdr:rowOff>180340</xdr:rowOff>
    </xdr:to>
    <xdr:graphicFrame macro="">
      <xdr:nvGraphicFramePr>
        <xdr:cNvPr id="49" name="Chart 14">
          <a:extLst>
            <a:ext uri="{FF2B5EF4-FFF2-40B4-BE49-F238E27FC236}">
              <a16:creationId xmlns:a16="http://schemas.microsoft.com/office/drawing/2014/main" xmlns="" id="{00000000-0008-0000-01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1</xdr:col>
      <xdr:colOff>0</xdr:colOff>
      <xdr:row>230</xdr:row>
      <xdr:rowOff>0</xdr:rowOff>
    </xdr:from>
    <xdr:to>
      <xdr:col>7</xdr:col>
      <xdr:colOff>453389</xdr:colOff>
      <xdr:row>243</xdr:row>
      <xdr:rowOff>166052</xdr:rowOff>
    </xdr:to>
    <xdr:graphicFrame macro="">
      <xdr:nvGraphicFramePr>
        <xdr:cNvPr id="50" name="Chart 13">
          <a:extLst>
            <a:ext uri="{FF2B5EF4-FFF2-40B4-BE49-F238E27FC236}">
              <a16:creationId xmlns:a16="http://schemas.microsoft.com/office/drawing/2014/main" xmlns="" id="{00000000-0008-0000-01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10</xdr:col>
      <xdr:colOff>0</xdr:colOff>
      <xdr:row>230</xdr:row>
      <xdr:rowOff>0</xdr:rowOff>
    </xdr:from>
    <xdr:to>
      <xdr:col>17</xdr:col>
      <xdr:colOff>125730</xdr:colOff>
      <xdr:row>243</xdr:row>
      <xdr:rowOff>139065</xdr:rowOff>
    </xdr:to>
    <xdr:graphicFrame macro="">
      <xdr:nvGraphicFramePr>
        <xdr:cNvPr id="51" name="Chart 12">
          <a:extLst>
            <a:ext uri="{FF2B5EF4-FFF2-40B4-BE49-F238E27FC236}">
              <a16:creationId xmlns:a16="http://schemas.microsoft.com/office/drawing/2014/main" xmlns="" id="{0242432C-7DFD-45A3-B78C-955E071C83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20</xdr:col>
      <xdr:colOff>0</xdr:colOff>
      <xdr:row>230</xdr:row>
      <xdr:rowOff>0</xdr:rowOff>
    </xdr:from>
    <xdr:to>
      <xdr:col>28</xdr:col>
      <xdr:colOff>39370</xdr:colOff>
      <xdr:row>243</xdr:row>
      <xdr:rowOff>180340</xdr:rowOff>
    </xdr:to>
    <xdr:graphicFrame macro="">
      <xdr:nvGraphicFramePr>
        <xdr:cNvPr id="52" name="Chart 14">
          <a:extLst>
            <a:ext uri="{FF2B5EF4-FFF2-40B4-BE49-F238E27FC236}">
              <a16:creationId xmlns:a16="http://schemas.microsoft.com/office/drawing/2014/main" xmlns="" id="{00000000-0008-0000-01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1</xdr:col>
      <xdr:colOff>0</xdr:colOff>
      <xdr:row>247</xdr:row>
      <xdr:rowOff>0</xdr:rowOff>
    </xdr:from>
    <xdr:to>
      <xdr:col>7</xdr:col>
      <xdr:colOff>453389</xdr:colOff>
      <xdr:row>260</xdr:row>
      <xdr:rowOff>166052</xdr:rowOff>
    </xdr:to>
    <xdr:graphicFrame macro="">
      <xdr:nvGraphicFramePr>
        <xdr:cNvPr id="53" name="Chart 13">
          <a:extLst>
            <a:ext uri="{FF2B5EF4-FFF2-40B4-BE49-F238E27FC236}">
              <a16:creationId xmlns:a16="http://schemas.microsoft.com/office/drawing/2014/main" xmlns="" id="{00000000-0008-0000-01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10</xdr:col>
      <xdr:colOff>0</xdr:colOff>
      <xdr:row>247</xdr:row>
      <xdr:rowOff>0</xdr:rowOff>
    </xdr:from>
    <xdr:to>
      <xdr:col>17</xdr:col>
      <xdr:colOff>125730</xdr:colOff>
      <xdr:row>260</xdr:row>
      <xdr:rowOff>139065</xdr:rowOff>
    </xdr:to>
    <xdr:graphicFrame macro="">
      <xdr:nvGraphicFramePr>
        <xdr:cNvPr id="54" name="Chart 12">
          <a:extLst>
            <a:ext uri="{FF2B5EF4-FFF2-40B4-BE49-F238E27FC236}">
              <a16:creationId xmlns:a16="http://schemas.microsoft.com/office/drawing/2014/main" xmlns="" id="{0242432C-7DFD-45A3-B78C-955E071C83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20</xdr:col>
      <xdr:colOff>0</xdr:colOff>
      <xdr:row>247</xdr:row>
      <xdr:rowOff>0</xdr:rowOff>
    </xdr:from>
    <xdr:to>
      <xdr:col>28</xdr:col>
      <xdr:colOff>39370</xdr:colOff>
      <xdr:row>260</xdr:row>
      <xdr:rowOff>180340</xdr:rowOff>
    </xdr:to>
    <xdr:graphicFrame macro="">
      <xdr:nvGraphicFramePr>
        <xdr:cNvPr id="55" name="Chart 14">
          <a:extLst>
            <a:ext uri="{FF2B5EF4-FFF2-40B4-BE49-F238E27FC236}">
              <a16:creationId xmlns:a16="http://schemas.microsoft.com/office/drawing/2014/main" xmlns="" id="{00000000-0008-0000-01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11</xdr:col>
      <xdr:colOff>304800</xdr:colOff>
      <xdr:row>255</xdr:row>
      <xdr:rowOff>15240</xdr:rowOff>
    </xdr:from>
    <xdr:to>
      <xdr:col>13</xdr:col>
      <xdr:colOff>608572</xdr:colOff>
      <xdr:row>256</xdr:row>
      <xdr:rowOff>100301</xdr:rowOff>
    </xdr:to>
    <xdr:sp macro="" textlink="">
      <xdr:nvSpPr>
        <xdr:cNvPr id="56" name="TextBox 15"/>
        <xdr:cNvSpPr txBox="1"/>
      </xdr:nvSpPr>
      <xdr:spPr>
        <a:xfrm>
          <a:off x="7680960" y="50535840"/>
          <a:ext cx="1644892" cy="28318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ro-RO" sz="1100" b="1" baseline="0"/>
            <a:t>DEA 10% + MDEA 20%</a:t>
          </a:r>
          <a:endParaRPr lang="en-US" sz="1100" b="1"/>
        </a:p>
      </xdr:txBody>
    </xdr:sp>
    <xdr:clientData/>
  </xdr:twoCellAnchor>
  <xdr:twoCellAnchor>
    <xdr:from>
      <xdr:col>0</xdr:col>
      <xdr:colOff>594360</xdr:colOff>
      <xdr:row>263</xdr:row>
      <xdr:rowOff>106680</xdr:rowOff>
    </xdr:from>
    <xdr:to>
      <xdr:col>7</xdr:col>
      <xdr:colOff>377189</xdr:colOff>
      <xdr:row>277</xdr:row>
      <xdr:rowOff>74612</xdr:rowOff>
    </xdr:to>
    <xdr:graphicFrame macro="">
      <xdr:nvGraphicFramePr>
        <xdr:cNvPr id="57" name="Chart 13">
          <a:extLst>
            <a:ext uri="{FF2B5EF4-FFF2-40B4-BE49-F238E27FC236}">
              <a16:creationId xmlns:a16="http://schemas.microsoft.com/office/drawing/2014/main" xmlns="" id="{00000000-0008-0000-01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10</xdr:col>
      <xdr:colOff>0</xdr:colOff>
      <xdr:row>264</xdr:row>
      <xdr:rowOff>0</xdr:rowOff>
    </xdr:from>
    <xdr:to>
      <xdr:col>17</xdr:col>
      <xdr:colOff>125730</xdr:colOff>
      <xdr:row>277</xdr:row>
      <xdr:rowOff>139065</xdr:rowOff>
    </xdr:to>
    <xdr:graphicFrame macro="">
      <xdr:nvGraphicFramePr>
        <xdr:cNvPr id="58" name="Chart 12">
          <a:extLst>
            <a:ext uri="{FF2B5EF4-FFF2-40B4-BE49-F238E27FC236}">
              <a16:creationId xmlns:a16="http://schemas.microsoft.com/office/drawing/2014/main" xmlns="" id="{0242432C-7DFD-45A3-B78C-955E071C83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20</xdr:col>
      <xdr:colOff>0</xdr:colOff>
      <xdr:row>264</xdr:row>
      <xdr:rowOff>0</xdr:rowOff>
    </xdr:from>
    <xdr:to>
      <xdr:col>28</xdr:col>
      <xdr:colOff>39370</xdr:colOff>
      <xdr:row>277</xdr:row>
      <xdr:rowOff>180340</xdr:rowOff>
    </xdr:to>
    <xdr:graphicFrame macro="">
      <xdr:nvGraphicFramePr>
        <xdr:cNvPr id="59" name="Chart 14">
          <a:extLst>
            <a:ext uri="{FF2B5EF4-FFF2-40B4-BE49-F238E27FC236}">
              <a16:creationId xmlns:a16="http://schemas.microsoft.com/office/drawing/2014/main" xmlns="" id="{00000000-0008-0000-01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1</xdr:col>
      <xdr:colOff>0</xdr:colOff>
      <xdr:row>280</xdr:row>
      <xdr:rowOff>0</xdr:rowOff>
    </xdr:from>
    <xdr:to>
      <xdr:col>7</xdr:col>
      <xdr:colOff>453389</xdr:colOff>
      <xdr:row>293</xdr:row>
      <xdr:rowOff>166052</xdr:rowOff>
    </xdr:to>
    <xdr:graphicFrame macro="">
      <xdr:nvGraphicFramePr>
        <xdr:cNvPr id="60" name="Chart 13">
          <a:extLst>
            <a:ext uri="{FF2B5EF4-FFF2-40B4-BE49-F238E27FC236}">
              <a16:creationId xmlns:a16="http://schemas.microsoft.com/office/drawing/2014/main" xmlns="" id="{00000000-0008-0000-01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10</xdr:col>
      <xdr:colOff>0</xdr:colOff>
      <xdr:row>280</xdr:row>
      <xdr:rowOff>0</xdr:rowOff>
    </xdr:from>
    <xdr:to>
      <xdr:col>17</xdr:col>
      <xdr:colOff>125730</xdr:colOff>
      <xdr:row>293</xdr:row>
      <xdr:rowOff>139065</xdr:rowOff>
    </xdr:to>
    <xdr:graphicFrame macro="">
      <xdr:nvGraphicFramePr>
        <xdr:cNvPr id="61" name="Chart 12">
          <a:extLst>
            <a:ext uri="{FF2B5EF4-FFF2-40B4-BE49-F238E27FC236}">
              <a16:creationId xmlns:a16="http://schemas.microsoft.com/office/drawing/2014/main" xmlns="" id="{0242432C-7DFD-45A3-B78C-955E071C83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20</xdr:col>
      <xdr:colOff>0</xdr:colOff>
      <xdr:row>280</xdr:row>
      <xdr:rowOff>0</xdr:rowOff>
    </xdr:from>
    <xdr:to>
      <xdr:col>28</xdr:col>
      <xdr:colOff>39370</xdr:colOff>
      <xdr:row>293</xdr:row>
      <xdr:rowOff>180340</xdr:rowOff>
    </xdr:to>
    <xdr:graphicFrame macro="">
      <xdr:nvGraphicFramePr>
        <xdr:cNvPr id="62" name="Chart 14">
          <a:extLst>
            <a:ext uri="{FF2B5EF4-FFF2-40B4-BE49-F238E27FC236}">
              <a16:creationId xmlns:a16="http://schemas.microsoft.com/office/drawing/2014/main" xmlns="" id="{00000000-0008-0000-01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0.66995</cdr:x>
      <cdr:y>0.07534</cdr:y>
    </cdr:from>
    <cdr:to>
      <cdr:x>0.91995</cdr:x>
      <cdr:y>0.18298</cdr:y>
    </cdr:to>
    <cdr:sp macro="" textlink="">
      <cdr:nvSpPr>
        <cdr:cNvPr id="2" name="TextBox 15"/>
        <cdr:cNvSpPr txBox="1"/>
      </cdr:nvSpPr>
      <cdr:spPr>
        <a:xfrm xmlns:a="http://schemas.openxmlformats.org/drawingml/2006/main">
          <a:off x="3190637" y="201407"/>
          <a:ext cx="1190625" cy="287759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o-RO" sz="1100" b="1" baseline="0"/>
            <a:t>MDEA = 30%</a:t>
          </a:r>
          <a:endParaRPr lang="en-US" sz="1100" b="1"/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0.21321</cdr:x>
      <cdr:y>0.09564</cdr:y>
    </cdr:from>
    <cdr:to>
      <cdr:x>0.46321</cdr:x>
      <cdr:y>0.20328</cdr:y>
    </cdr:to>
    <cdr:sp macro="" textlink="">
      <cdr:nvSpPr>
        <cdr:cNvPr id="2" name="TextBox 15"/>
        <cdr:cNvSpPr txBox="1"/>
      </cdr:nvSpPr>
      <cdr:spPr>
        <a:xfrm xmlns:a="http://schemas.openxmlformats.org/drawingml/2006/main">
          <a:off x="1151465" y="259627"/>
          <a:ext cx="1350169" cy="292202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o-RO" sz="1100" b="1" baseline="0"/>
            <a:t>MDEA = 30%</a:t>
          </a:r>
          <a:endParaRPr lang="en-US" sz="1100" b="1"/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0.14877</cdr:x>
      <cdr:y>0.08454</cdr:y>
    </cdr:from>
    <cdr:to>
      <cdr:x>0.38302</cdr:x>
      <cdr:y>0.19112</cdr:y>
    </cdr:to>
    <cdr:sp macro="" textlink="">
      <cdr:nvSpPr>
        <cdr:cNvPr id="2" name="TextBox 15"/>
        <cdr:cNvSpPr txBox="1"/>
      </cdr:nvSpPr>
      <cdr:spPr>
        <a:xfrm xmlns:a="http://schemas.openxmlformats.org/drawingml/2006/main">
          <a:off x="765175" y="231775"/>
          <a:ext cx="1204912" cy="292202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o-RO" sz="1100" b="1" baseline="0"/>
            <a:t>MEA 30% + piperazina 10%</a:t>
          </a:r>
          <a:endParaRPr lang="en-US" sz="1100" b="1"/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0.20659</cdr:x>
      <cdr:y>0.54082</cdr:y>
    </cdr:from>
    <cdr:to>
      <cdr:x>0.45658</cdr:x>
      <cdr:y>0.64846</cdr:y>
    </cdr:to>
    <cdr:sp macro="" textlink="">
      <cdr:nvSpPr>
        <cdr:cNvPr id="3" name="TextBox 15"/>
        <cdr:cNvSpPr txBox="1"/>
      </cdr:nvSpPr>
      <cdr:spPr>
        <a:xfrm xmlns:a="http://schemas.openxmlformats.org/drawingml/2006/main">
          <a:off x="995680" y="1468120"/>
          <a:ext cx="1204865" cy="292201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o-RO" sz="1100" b="1" baseline="0"/>
            <a:t>MEA 30% + piperazina 10%</a:t>
          </a:r>
          <a:endParaRPr lang="en-US" sz="1100" b="1"/>
        </a:p>
      </cdr:txBody>
    </cdr:sp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0.19283</cdr:x>
      <cdr:y>0.09731</cdr:y>
    </cdr:from>
    <cdr:to>
      <cdr:x>0.41592</cdr:x>
      <cdr:y>0.20495</cdr:y>
    </cdr:to>
    <cdr:sp macro="" textlink="">
      <cdr:nvSpPr>
        <cdr:cNvPr id="3" name="TextBox 15"/>
        <cdr:cNvSpPr txBox="1"/>
      </cdr:nvSpPr>
      <cdr:spPr>
        <a:xfrm xmlns:a="http://schemas.openxmlformats.org/drawingml/2006/main">
          <a:off x="1041400" y="264160"/>
          <a:ext cx="1204865" cy="292201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o-RO" sz="1100" b="1" baseline="0"/>
            <a:t>MEA 30% + piperazina 10%</a:t>
          </a:r>
          <a:endParaRPr lang="en-US" sz="1100" b="1"/>
        </a:p>
      </cdr:txBody>
    </cdr:sp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0.66995</cdr:x>
      <cdr:y>0.07534</cdr:y>
    </cdr:from>
    <cdr:to>
      <cdr:x>0.91995</cdr:x>
      <cdr:y>0.18298</cdr:y>
    </cdr:to>
    <cdr:sp macro="" textlink="">
      <cdr:nvSpPr>
        <cdr:cNvPr id="2" name="TextBox 15"/>
        <cdr:cNvSpPr txBox="1"/>
      </cdr:nvSpPr>
      <cdr:spPr>
        <a:xfrm xmlns:a="http://schemas.openxmlformats.org/drawingml/2006/main">
          <a:off x="3190637" y="201407"/>
          <a:ext cx="1190625" cy="287759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o-RO" sz="1100" b="1"/>
            <a:t>MEA</a:t>
          </a:r>
          <a:r>
            <a:rPr lang="ro-RO" sz="1100" b="1" baseline="0"/>
            <a:t> = 20%</a:t>
          </a:r>
          <a:endParaRPr lang="en-US" sz="1100" b="1"/>
        </a:p>
      </cdr:txBody>
    </cdr:sp>
  </cdr:relSizeAnchor>
</c:userShapes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0.17088</cdr:x>
      <cdr:y>0.06757</cdr:y>
    </cdr:from>
    <cdr:to>
      <cdr:x>0.42088</cdr:x>
      <cdr:y>0.17521</cdr:y>
    </cdr:to>
    <cdr:sp macro="" textlink="">
      <cdr:nvSpPr>
        <cdr:cNvPr id="2" name="TextBox 15"/>
        <cdr:cNvSpPr txBox="1"/>
      </cdr:nvSpPr>
      <cdr:spPr>
        <a:xfrm xmlns:a="http://schemas.openxmlformats.org/drawingml/2006/main">
          <a:off x="922865" y="183414"/>
          <a:ext cx="1350169" cy="292203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o-RO" sz="1100" b="1"/>
            <a:t>MEA</a:t>
          </a:r>
          <a:r>
            <a:rPr lang="ro-RO" sz="1100" b="1" baseline="0"/>
            <a:t> = 20%</a:t>
          </a:r>
          <a:endParaRPr lang="en-US" sz="1100" b="1"/>
        </a:p>
      </cdr:txBody>
    </cdr:sp>
  </cdr:relSizeAnchor>
</c:userShapes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0.15978</cdr:x>
      <cdr:y>0.08523</cdr:y>
    </cdr:from>
    <cdr:to>
      <cdr:x>0.45282</cdr:x>
      <cdr:y>0.19344</cdr:y>
    </cdr:to>
    <cdr:sp macro="" textlink="">
      <cdr:nvSpPr>
        <cdr:cNvPr id="2" name="TextBox 15"/>
        <cdr:cNvSpPr txBox="1"/>
      </cdr:nvSpPr>
      <cdr:spPr>
        <a:xfrm xmlns:a="http://schemas.openxmlformats.org/drawingml/2006/main">
          <a:off x="736600" y="233680"/>
          <a:ext cx="1350963" cy="296645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o-RO" sz="1100" b="1" baseline="0"/>
            <a:t>DEA = 20%</a:t>
          </a:r>
          <a:endParaRPr lang="en-US" sz="1100" b="1"/>
        </a:p>
      </cdr:txBody>
    </cdr:sp>
  </cdr:relSizeAnchor>
</c:userShapes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0.66995</cdr:x>
      <cdr:y>0.07534</cdr:y>
    </cdr:from>
    <cdr:to>
      <cdr:x>0.91995</cdr:x>
      <cdr:y>0.18298</cdr:y>
    </cdr:to>
    <cdr:sp macro="" textlink="">
      <cdr:nvSpPr>
        <cdr:cNvPr id="2" name="TextBox 15"/>
        <cdr:cNvSpPr txBox="1"/>
      </cdr:nvSpPr>
      <cdr:spPr>
        <a:xfrm xmlns:a="http://schemas.openxmlformats.org/drawingml/2006/main">
          <a:off x="3190637" y="201407"/>
          <a:ext cx="1190625" cy="287759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o-RO" sz="1100" b="1" baseline="0"/>
            <a:t>DEA = 20%</a:t>
          </a:r>
          <a:endParaRPr lang="en-US" sz="1100" b="1"/>
        </a:p>
      </cdr:txBody>
    </cdr:sp>
  </cdr:relSizeAnchor>
</c:userShapes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0.69822</cdr:x>
      <cdr:y>0.62897</cdr:y>
    </cdr:from>
    <cdr:to>
      <cdr:x>0.94822</cdr:x>
      <cdr:y>0.73661</cdr:y>
    </cdr:to>
    <cdr:sp macro="" textlink="">
      <cdr:nvSpPr>
        <cdr:cNvPr id="2" name="TextBox 15"/>
        <cdr:cNvSpPr txBox="1"/>
      </cdr:nvSpPr>
      <cdr:spPr>
        <a:xfrm xmlns:a="http://schemas.openxmlformats.org/drawingml/2006/main">
          <a:off x="3770853" y="1707427"/>
          <a:ext cx="1350169" cy="292202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o-RO" sz="1100" b="1" baseline="0"/>
            <a:t>DEA = 20%</a:t>
          </a:r>
          <a:endParaRPr lang="en-US" sz="1100" b="1"/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0.21321</cdr:x>
      <cdr:y>0.09564</cdr:y>
    </cdr:from>
    <cdr:to>
      <cdr:x>0.46321</cdr:x>
      <cdr:y>0.20328</cdr:y>
    </cdr:to>
    <cdr:sp macro="" textlink="">
      <cdr:nvSpPr>
        <cdr:cNvPr id="2" name="TextBox 15"/>
        <cdr:cNvSpPr txBox="1"/>
      </cdr:nvSpPr>
      <cdr:spPr>
        <a:xfrm xmlns:a="http://schemas.openxmlformats.org/drawingml/2006/main">
          <a:off x="1151465" y="259627"/>
          <a:ext cx="1350169" cy="292202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o-RO" sz="1100" b="1" baseline="0"/>
            <a:t>D</a:t>
          </a:r>
          <a:r>
            <a:rPr lang="en-US" sz="1100" b="1" baseline="0"/>
            <a:t>G</a:t>
          </a:r>
          <a:r>
            <a:rPr lang="ro-RO" sz="1100" b="1" baseline="0"/>
            <a:t>A = 30%</a:t>
          </a:r>
          <a:endParaRPr lang="en-US" sz="1100" b="1"/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0.69822</cdr:x>
      <cdr:y>0.62897</cdr:y>
    </cdr:from>
    <cdr:to>
      <cdr:x>0.94822</cdr:x>
      <cdr:y>0.73661</cdr:y>
    </cdr:to>
    <cdr:sp macro="" textlink="">
      <cdr:nvSpPr>
        <cdr:cNvPr id="2" name="TextBox 15"/>
        <cdr:cNvSpPr txBox="1"/>
      </cdr:nvSpPr>
      <cdr:spPr>
        <a:xfrm xmlns:a="http://schemas.openxmlformats.org/drawingml/2006/main">
          <a:off x="3770853" y="1707427"/>
          <a:ext cx="1350169" cy="292202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o-RO" sz="1100" b="1" baseline="0"/>
            <a:t>MDEA = 20%</a:t>
          </a:r>
          <a:endParaRPr lang="en-US" sz="1100" b="1"/>
        </a:p>
      </cdr:txBody>
    </cdr:sp>
  </cdr:relSizeAnchor>
</c:userShapes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0.66995</cdr:x>
      <cdr:y>0.07534</cdr:y>
    </cdr:from>
    <cdr:to>
      <cdr:x>0.91995</cdr:x>
      <cdr:y>0.18298</cdr:y>
    </cdr:to>
    <cdr:sp macro="" textlink="">
      <cdr:nvSpPr>
        <cdr:cNvPr id="2" name="TextBox 15"/>
        <cdr:cNvSpPr txBox="1"/>
      </cdr:nvSpPr>
      <cdr:spPr>
        <a:xfrm xmlns:a="http://schemas.openxmlformats.org/drawingml/2006/main">
          <a:off x="3190637" y="201407"/>
          <a:ext cx="1190625" cy="287759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o-RO" sz="1100" b="1" baseline="0"/>
            <a:t>MDEA = 20%</a:t>
          </a:r>
          <a:endParaRPr lang="en-US" sz="1100" b="1"/>
        </a:p>
      </cdr:txBody>
    </cdr:sp>
  </cdr:relSizeAnchor>
</c:userShapes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0.18837</cdr:x>
      <cdr:y>0.11303</cdr:y>
    </cdr:from>
    <cdr:to>
      <cdr:x>0.49014</cdr:x>
      <cdr:y>0.22123</cdr:y>
    </cdr:to>
    <cdr:sp macro="" textlink="">
      <cdr:nvSpPr>
        <cdr:cNvPr id="2" name="TextBox 15"/>
        <cdr:cNvSpPr txBox="1"/>
      </cdr:nvSpPr>
      <cdr:spPr>
        <a:xfrm xmlns:a="http://schemas.openxmlformats.org/drawingml/2006/main">
          <a:off x="843280" y="309880"/>
          <a:ext cx="1350963" cy="296645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o-RO" sz="1100" b="1" baseline="0"/>
            <a:t>MDEA = 20%</a:t>
          </a:r>
          <a:endParaRPr lang="en-US" sz="1100" b="1"/>
        </a:p>
      </cdr:txBody>
    </cdr:sp>
  </cdr:relSizeAnchor>
</c:userShapes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0.66995</cdr:x>
      <cdr:y>0.07534</cdr:y>
    </cdr:from>
    <cdr:to>
      <cdr:x>0.91995</cdr:x>
      <cdr:y>0.18298</cdr:y>
    </cdr:to>
    <cdr:sp macro="" textlink="">
      <cdr:nvSpPr>
        <cdr:cNvPr id="2" name="TextBox 15"/>
        <cdr:cNvSpPr txBox="1"/>
      </cdr:nvSpPr>
      <cdr:spPr>
        <a:xfrm xmlns:a="http://schemas.openxmlformats.org/drawingml/2006/main">
          <a:off x="3190637" y="201407"/>
          <a:ext cx="1190625" cy="287759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o-RO" sz="1100" b="1"/>
            <a:t>MEA</a:t>
          </a:r>
          <a:r>
            <a:rPr lang="ro-RO" sz="1100" b="1" baseline="0"/>
            <a:t> = 10%</a:t>
          </a:r>
          <a:endParaRPr lang="en-US" sz="1100" b="1"/>
        </a:p>
      </cdr:txBody>
    </cdr:sp>
  </cdr:relSizeAnchor>
</c:userShapes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0.14826</cdr:x>
      <cdr:y>0.09524</cdr:y>
    </cdr:from>
    <cdr:to>
      <cdr:x>0.38599</cdr:x>
      <cdr:y>0.19696</cdr:y>
    </cdr:to>
    <cdr:sp macro="" textlink="">
      <cdr:nvSpPr>
        <cdr:cNvPr id="2" name="TextBox 15"/>
        <cdr:cNvSpPr txBox="1"/>
      </cdr:nvSpPr>
      <cdr:spPr>
        <a:xfrm xmlns:a="http://schemas.openxmlformats.org/drawingml/2006/main">
          <a:off x="736600" y="264160"/>
          <a:ext cx="1181100" cy="282155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o-RO" sz="1100" b="1" baseline="0"/>
            <a:t>DEA = 10%</a:t>
          </a:r>
          <a:endParaRPr lang="en-US" sz="1100" b="1"/>
        </a:p>
      </cdr:txBody>
    </cdr:sp>
  </cdr:relSizeAnchor>
</c:userShapes>
</file>

<file path=xl/drawings/drawing25.xml><?xml version="1.0" encoding="utf-8"?>
<c:userShapes xmlns:c="http://schemas.openxmlformats.org/drawingml/2006/chart">
  <cdr:relSizeAnchor xmlns:cdr="http://schemas.openxmlformats.org/drawingml/2006/chartDrawing">
    <cdr:from>
      <cdr:x>0.66995</cdr:x>
      <cdr:y>0.07534</cdr:y>
    </cdr:from>
    <cdr:to>
      <cdr:x>0.91995</cdr:x>
      <cdr:y>0.18298</cdr:y>
    </cdr:to>
    <cdr:sp macro="" textlink="">
      <cdr:nvSpPr>
        <cdr:cNvPr id="2" name="TextBox 15"/>
        <cdr:cNvSpPr txBox="1"/>
      </cdr:nvSpPr>
      <cdr:spPr>
        <a:xfrm xmlns:a="http://schemas.openxmlformats.org/drawingml/2006/main">
          <a:off x="3190637" y="201407"/>
          <a:ext cx="1190625" cy="287759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o-RO" sz="1100" b="1" baseline="0"/>
            <a:t>DEA = 10%</a:t>
          </a:r>
          <a:endParaRPr lang="en-US" sz="1100" b="1"/>
        </a:p>
      </cdr:txBody>
    </cdr:sp>
  </cdr:relSizeAnchor>
</c:userShapes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0.69822</cdr:x>
      <cdr:y>0.62897</cdr:y>
    </cdr:from>
    <cdr:to>
      <cdr:x>0.94822</cdr:x>
      <cdr:y>0.73661</cdr:y>
    </cdr:to>
    <cdr:sp macro="" textlink="">
      <cdr:nvSpPr>
        <cdr:cNvPr id="2" name="TextBox 15"/>
        <cdr:cNvSpPr txBox="1"/>
      </cdr:nvSpPr>
      <cdr:spPr>
        <a:xfrm xmlns:a="http://schemas.openxmlformats.org/drawingml/2006/main">
          <a:off x="3770853" y="1707427"/>
          <a:ext cx="1350169" cy="292202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o-RO" sz="1100" b="1" baseline="0"/>
            <a:t>DEA = 10%</a:t>
          </a:r>
          <a:endParaRPr lang="en-US" sz="1100" b="1"/>
        </a:p>
      </cdr:txBody>
    </cdr:sp>
  </cdr:relSizeAnchor>
</c:userShapes>
</file>

<file path=xl/drawings/drawing27.xml><?xml version="1.0" encoding="utf-8"?>
<c:userShapes xmlns:c="http://schemas.openxmlformats.org/drawingml/2006/chart">
  <cdr:relSizeAnchor xmlns:cdr="http://schemas.openxmlformats.org/drawingml/2006/chartDrawing">
    <cdr:from>
      <cdr:x>0.19177</cdr:x>
      <cdr:y>0.10747</cdr:y>
    </cdr:from>
    <cdr:to>
      <cdr:x>0.46092</cdr:x>
      <cdr:y>0.21405</cdr:y>
    </cdr:to>
    <cdr:sp macro="" textlink="">
      <cdr:nvSpPr>
        <cdr:cNvPr id="2" name="TextBox 15"/>
        <cdr:cNvSpPr txBox="1"/>
      </cdr:nvSpPr>
      <cdr:spPr>
        <a:xfrm xmlns:a="http://schemas.openxmlformats.org/drawingml/2006/main">
          <a:off x="858520" y="294640"/>
          <a:ext cx="1204912" cy="292202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o-RO" sz="1100" b="1" baseline="0"/>
            <a:t>MDEA = 10%</a:t>
          </a:r>
          <a:endParaRPr lang="en-US" sz="1100" b="1"/>
        </a:p>
      </cdr:txBody>
    </cdr:sp>
  </cdr:relSizeAnchor>
</c:userShapes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0.66995</cdr:x>
      <cdr:y>0.07534</cdr:y>
    </cdr:from>
    <cdr:to>
      <cdr:x>0.91995</cdr:x>
      <cdr:y>0.18298</cdr:y>
    </cdr:to>
    <cdr:sp macro="" textlink="">
      <cdr:nvSpPr>
        <cdr:cNvPr id="2" name="TextBox 15"/>
        <cdr:cNvSpPr txBox="1"/>
      </cdr:nvSpPr>
      <cdr:spPr>
        <a:xfrm xmlns:a="http://schemas.openxmlformats.org/drawingml/2006/main">
          <a:off x="3190637" y="201407"/>
          <a:ext cx="1190625" cy="287759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o-RO" sz="1100" b="1" baseline="0"/>
            <a:t>MDEA = 10%</a:t>
          </a:r>
          <a:endParaRPr lang="en-US" sz="1100" b="1"/>
        </a:p>
      </cdr:txBody>
    </cdr:sp>
  </cdr:relSizeAnchor>
</c:userShapes>
</file>

<file path=xl/drawings/drawing29.xml><?xml version="1.0" encoding="utf-8"?>
<c:userShapes xmlns:c="http://schemas.openxmlformats.org/drawingml/2006/chart">
  <cdr:relSizeAnchor xmlns:cdr="http://schemas.openxmlformats.org/drawingml/2006/chartDrawing">
    <cdr:from>
      <cdr:x>0.69822</cdr:x>
      <cdr:y>0.62897</cdr:y>
    </cdr:from>
    <cdr:to>
      <cdr:x>0.94822</cdr:x>
      <cdr:y>0.73661</cdr:y>
    </cdr:to>
    <cdr:sp macro="" textlink="">
      <cdr:nvSpPr>
        <cdr:cNvPr id="2" name="TextBox 15"/>
        <cdr:cNvSpPr txBox="1"/>
      </cdr:nvSpPr>
      <cdr:spPr>
        <a:xfrm xmlns:a="http://schemas.openxmlformats.org/drawingml/2006/main">
          <a:off x="3770853" y="1707427"/>
          <a:ext cx="1350169" cy="292202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o-RO" sz="1100" b="1" baseline="0"/>
            <a:t>MDEA = 10%</a:t>
          </a:r>
          <a:endParaRPr lang="en-US" sz="1100" b="1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0.71104</cdr:x>
      <cdr:y>0.10741</cdr:y>
    </cdr:from>
    <cdr:to>
      <cdr:x>0.96104</cdr:x>
      <cdr:y>0.21505</cdr:y>
    </cdr:to>
    <cdr:sp macro="" textlink="">
      <cdr:nvSpPr>
        <cdr:cNvPr id="2" name="TextBox 15"/>
        <cdr:cNvSpPr txBox="1"/>
      </cdr:nvSpPr>
      <cdr:spPr>
        <a:xfrm xmlns:a="http://schemas.openxmlformats.org/drawingml/2006/main">
          <a:off x="3000278" y="287135"/>
          <a:ext cx="1054894" cy="28776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o-RO" sz="1100" b="1" baseline="0"/>
            <a:t>D</a:t>
          </a:r>
          <a:r>
            <a:rPr lang="en-US" sz="1100" b="1" baseline="0"/>
            <a:t>G</a:t>
          </a:r>
          <a:r>
            <a:rPr lang="ro-RO" sz="1100" b="1" baseline="0"/>
            <a:t>A = 30%</a:t>
          </a:r>
          <a:endParaRPr lang="en-US" sz="1100" b="1"/>
        </a:p>
      </cdr:txBody>
    </cdr:sp>
  </cdr:relSizeAnchor>
</c:userShapes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0.15773</cdr:x>
      <cdr:y>0.10191</cdr:y>
    </cdr:from>
    <cdr:to>
      <cdr:x>0.48772</cdr:x>
      <cdr:y>0.21631</cdr:y>
    </cdr:to>
    <cdr:sp macro="" textlink="">
      <cdr:nvSpPr>
        <cdr:cNvPr id="2" name="TextBox 15"/>
        <cdr:cNvSpPr txBox="1"/>
      </cdr:nvSpPr>
      <cdr:spPr>
        <a:xfrm xmlns:a="http://schemas.openxmlformats.org/drawingml/2006/main">
          <a:off x="706120" y="279400"/>
          <a:ext cx="1477277" cy="31364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o-RO" sz="1100" b="1" baseline="0"/>
            <a:t>MEA 20% + DEA 10%</a:t>
          </a:r>
          <a:endParaRPr lang="en-US" sz="1100" b="1"/>
        </a:p>
      </cdr:txBody>
    </cdr:sp>
  </cdr:relSizeAnchor>
</c:userShapes>
</file>

<file path=xl/drawings/drawing31.xml><?xml version="1.0" encoding="utf-8"?>
<c:userShapes xmlns:c="http://schemas.openxmlformats.org/drawingml/2006/chart">
  <cdr:relSizeAnchor xmlns:cdr="http://schemas.openxmlformats.org/drawingml/2006/chartDrawing">
    <cdr:from>
      <cdr:x>0.61344</cdr:x>
      <cdr:y>0.07534</cdr:y>
    </cdr:from>
    <cdr:to>
      <cdr:x>0.91995</cdr:x>
      <cdr:y>0.19088</cdr:y>
    </cdr:to>
    <cdr:sp macro="" textlink="">
      <cdr:nvSpPr>
        <cdr:cNvPr id="2" name="TextBox 15"/>
        <cdr:cNvSpPr txBox="1"/>
      </cdr:nvSpPr>
      <cdr:spPr>
        <a:xfrm xmlns:a="http://schemas.openxmlformats.org/drawingml/2006/main">
          <a:off x="2956560" y="204520"/>
          <a:ext cx="1477277" cy="31364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o-RO" sz="1100" b="1" baseline="0"/>
            <a:t>MEA 20% + DEA 10%</a:t>
          </a:r>
          <a:endParaRPr lang="en-US" sz="1100" b="1"/>
        </a:p>
      </cdr:txBody>
    </cdr:sp>
  </cdr:relSizeAnchor>
</c:userShapes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0.64959</cdr:x>
      <cdr:y>0.54931</cdr:y>
    </cdr:from>
    <cdr:to>
      <cdr:x>0.92296</cdr:x>
      <cdr:y>0.66312</cdr:y>
    </cdr:to>
    <cdr:sp macro="" textlink="">
      <cdr:nvSpPr>
        <cdr:cNvPr id="3" name="TextBox 15"/>
        <cdr:cNvSpPr txBox="1"/>
      </cdr:nvSpPr>
      <cdr:spPr>
        <a:xfrm xmlns:a="http://schemas.openxmlformats.org/drawingml/2006/main">
          <a:off x="3510280" y="1513840"/>
          <a:ext cx="1477277" cy="31364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o-RO" sz="1100" b="1" baseline="0"/>
            <a:t>MEA 20% + DEA 10%</a:t>
          </a:r>
          <a:endParaRPr lang="en-US" sz="1100" b="1"/>
        </a:p>
      </cdr:txBody>
    </cdr:sp>
  </cdr:relSizeAnchor>
</c:userShapes>
</file>

<file path=xl/drawings/drawing33.xml><?xml version="1.0" encoding="utf-8"?>
<c:userShapes xmlns:c="http://schemas.openxmlformats.org/drawingml/2006/chart">
  <cdr:relSizeAnchor xmlns:cdr="http://schemas.openxmlformats.org/drawingml/2006/chartDrawing">
    <cdr:from>
      <cdr:x>0.15092</cdr:x>
      <cdr:y>0.10747</cdr:y>
    </cdr:from>
    <cdr:to>
      <cdr:x>0.51836</cdr:x>
      <cdr:y>0.21075</cdr:y>
    </cdr:to>
    <cdr:sp macro="" textlink="">
      <cdr:nvSpPr>
        <cdr:cNvPr id="2" name="TextBox 15"/>
        <cdr:cNvSpPr txBox="1"/>
      </cdr:nvSpPr>
      <cdr:spPr>
        <a:xfrm xmlns:a="http://schemas.openxmlformats.org/drawingml/2006/main">
          <a:off x="675640" y="294640"/>
          <a:ext cx="1644917" cy="28316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o-RO" sz="1100" b="1" baseline="0"/>
            <a:t>MEA 20% + MDEA 10%</a:t>
          </a:r>
          <a:endParaRPr lang="en-US" sz="1100" b="1"/>
        </a:p>
      </cdr:txBody>
    </cdr:sp>
  </cdr:relSizeAnchor>
</c:userShapes>
</file>

<file path=xl/drawings/drawing34.xml><?xml version="1.0" encoding="utf-8"?>
<c:userShapes xmlns:c="http://schemas.openxmlformats.org/drawingml/2006/chart">
  <cdr:relSizeAnchor xmlns:cdr="http://schemas.openxmlformats.org/drawingml/2006/chartDrawing">
    <cdr:from>
      <cdr:x>0.57866</cdr:x>
      <cdr:y>0.07534</cdr:y>
    </cdr:from>
    <cdr:to>
      <cdr:x>0.91995</cdr:x>
      <cdr:y>0.17965</cdr:y>
    </cdr:to>
    <cdr:sp macro="" textlink="">
      <cdr:nvSpPr>
        <cdr:cNvPr id="2" name="TextBox 15"/>
        <cdr:cNvSpPr txBox="1"/>
      </cdr:nvSpPr>
      <cdr:spPr>
        <a:xfrm xmlns:a="http://schemas.openxmlformats.org/drawingml/2006/main">
          <a:off x="2788920" y="204520"/>
          <a:ext cx="1644917" cy="28316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o-RO" sz="1100" b="1" baseline="0"/>
            <a:t>MEA 20% + MDEA 10%</a:t>
          </a:r>
          <a:endParaRPr lang="en-US" sz="1100" b="1"/>
        </a:p>
      </cdr:txBody>
    </cdr:sp>
  </cdr:relSizeAnchor>
</c:userShapes>
</file>

<file path=xl/drawings/drawing35.xml><?xml version="1.0" encoding="utf-8"?>
<c:userShapes xmlns:c="http://schemas.openxmlformats.org/drawingml/2006/chart">
  <cdr:relSizeAnchor xmlns:cdr="http://schemas.openxmlformats.org/drawingml/2006/chartDrawing">
    <cdr:from>
      <cdr:x>0.19835</cdr:x>
      <cdr:y>0.10138</cdr:y>
    </cdr:from>
    <cdr:to>
      <cdr:x>0.50275</cdr:x>
      <cdr:y>0.20413</cdr:y>
    </cdr:to>
    <cdr:sp macro="" textlink="">
      <cdr:nvSpPr>
        <cdr:cNvPr id="3" name="TextBox 15"/>
        <cdr:cNvSpPr txBox="1"/>
      </cdr:nvSpPr>
      <cdr:spPr>
        <a:xfrm xmlns:a="http://schemas.openxmlformats.org/drawingml/2006/main">
          <a:off x="1071880" y="279400"/>
          <a:ext cx="1644917" cy="28316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o-RO" sz="1100" b="1" baseline="0"/>
            <a:t>MEA 20% + MDEA 10%</a:t>
          </a:r>
          <a:endParaRPr lang="en-US" sz="1100" b="1"/>
        </a:p>
      </cdr:txBody>
    </cdr:sp>
  </cdr:relSizeAnchor>
</c:userShapes>
</file>

<file path=xl/drawings/drawing36.xml><?xml version="1.0" encoding="utf-8"?>
<c:userShapes xmlns:c="http://schemas.openxmlformats.org/drawingml/2006/chart">
  <cdr:relSizeAnchor xmlns:cdr="http://schemas.openxmlformats.org/drawingml/2006/chartDrawing">
    <cdr:from>
      <cdr:x>0.17475</cdr:x>
      <cdr:y>0.09635</cdr:y>
    </cdr:from>
    <cdr:to>
      <cdr:x>0.54218</cdr:x>
      <cdr:y>0.19964</cdr:y>
    </cdr:to>
    <cdr:sp macro="" textlink="">
      <cdr:nvSpPr>
        <cdr:cNvPr id="2" name="TextBox 15"/>
        <cdr:cNvSpPr txBox="1"/>
      </cdr:nvSpPr>
      <cdr:spPr>
        <a:xfrm xmlns:a="http://schemas.openxmlformats.org/drawingml/2006/main">
          <a:off x="782320" y="264160"/>
          <a:ext cx="1644898" cy="283162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o-RO" sz="1100" b="1" baseline="0"/>
            <a:t>MEA 10% + DEA 20%</a:t>
          </a:r>
          <a:endParaRPr lang="en-US" sz="1100" b="1"/>
        </a:p>
      </cdr:txBody>
    </cdr:sp>
  </cdr:relSizeAnchor>
</c:userShapes>
</file>

<file path=xl/drawings/drawing37.xml><?xml version="1.0" encoding="utf-8"?>
<c:userShapes xmlns:c="http://schemas.openxmlformats.org/drawingml/2006/chart">
  <cdr:relSizeAnchor xmlns:cdr="http://schemas.openxmlformats.org/drawingml/2006/chartDrawing">
    <cdr:from>
      <cdr:x>0.57866</cdr:x>
      <cdr:y>0.07534</cdr:y>
    </cdr:from>
    <cdr:to>
      <cdr:x>0.91995</cdr:x>
      <cdr:y>0.17965</cdr:y>
    </cdr:to>
    <cdr:sp macro="" textlink="">
      <cdr:nvSpPr>
        <cdr:cNvPr id="2" name="TextBox 15"/>
        <cdr:cNvSpPr txBox="1"/>
      </cdr:nvSpPr>
      <cdr:spPr>
        <a:xfrm xmlns:a="http://schemas.openxmlformats.org/drawingml/2006/main">
          <a:off x="2788920" y="204520"/>
          <a:ext cx="1644917" cy="28316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o-RO" sz="1100" b="1" baseline="0"/>
            <a:t>MEA 10% + DEA 20%</a:t>
          </a:r>
          <a:endParaRPr lang="en-US" sz="1100" b="1"/>
        </a:p>
      </cdr:txBody>
    </cdr:sp>
  </cdr:relSizeAnchor>
</c:userShapes>
</file>

<file path=xl/drawings/drawing38.xml><?xml version="1.0" encoding="utf-8"?>
<c:userShapes xmlns:c="http://schemas.openxmlformats.org/drawingml/2006/chart">
  <cdr:relSizeAnchor xmlns:cdr="http://schemas.openxmlformats.org/drawingml/2006/chartDrawing">
    <cdr:from>
      <cdr:x>0.204</cdr:x>
      <cdr:y>0.10138</cdr:y>
    </cdr:from>
    <cdr:to>
      <cdr:x>0.50839</cdr:x>
      <cdr:y>0.20413</cdr:y>
    </cdr:to>
    <cdr:sp macro="" textlink="">
      <cdr:nvSpPr>
        <cdr:cNvPr id="4" name="TextBox 15"/>
        <cdr:cNvSpPr txBox="1"/>
      </cdr:nvSpPr>
      <cdr:spPr>
        <a:xfrm xmlns:a="http://schemas.openxmlformats.org/drawingml/2006/main">
          <a:off x="1102360" y="279400"/>
          <a:ext cx="1644898" cy="283162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o-RO" sz="1100" b="1" baseline="0"/>
            <a:t>MEA 10% + DEA 20%</a:t>
          </a:r>
          <a:endParaRPr lang="en-US" sz="1100" b="1"/>
        </a:p>
      </cdr:txBody>
    </cdr:sp>
  </cdr:relSizeAnchor>
</c:userShapes>
</file>

<file path=xl/drawings/drawing39.xml><?xml version="1.0" encoding="utf-8"?>
<c:userShapes xmlns:c="http://schemas.openxmlformats.org/drawingml/2006/chart">
  <cdr:relSizeAnchor xmlns:cdr="http://schemas.openxmlformats.org/drawingml/2006/chartDrawing">
    <cdr:from>
      <cdr:x>0.17475</cdr:x>
      <cdr:y>0.09635</cdr:y>
    </cdr:from>
    <cdr:to>
      <cdr:x>0.54218</cdr:x>
      <cdr:y>0.19964</cdr:y>
    </cdr:to>
    <cdr:sp macro="" textlink="">
      <cdr:nvSpPr>
        <cdr:cNvPr id="2" name="TextBox 15"/>
        <cdr:cNvSpPr txBox="1"/>
      </cdr:nvSpPr>
      <cdr:spPr>
        <a:xfrm xmlns:a="http://schemas.openxmlformats.org/drawingml/2006/main">
          <a:off x="782320" y="264160"/>
          <a:ext cx="1644898" cy="283162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o-RO" sz="1100" b="1" baseline="0"/>
            <a:t>MEA 10% + MDEA 20%</a:t>
          </a:r>
          <a:endParaRPr lang="en-US" sz="1100" b="1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0.1752</cdr:x>
      <cdr:y>0.07685</cdr:y>
    </cdr:from>
    <cdr:to>
      <cdr:x>0.42611</cdr:x>
      <cdr:y>0.18568</cdr:y>
    </cdr:to>
    <cdr:sp macro="" textlink="">
      <cdr:nvSpPr>
        <cdr:cNvPr id="2" name="TextBox 15"/>
        <cdr:cNvSpPr txBox="1"/>
      </cdr:nvSpPr>
      <cdr:spPr>
        <a:xfrm xmlns:a="http://schemas.openxmlformats.org/drawingml/2006/main">
          <a:off x="736600" y="203200"/>
          <a:ext cx="1054893" cy="287759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o-RO" sz="1100" b="1" baseline="0"/>
            <a:t>D</a:t>
          </a:r>
          <a:r>
            <a:rPr lang="en-US" sz="1100" b="1" baseline="0"/>
            <a:t>G</a:t>
          </a:r>
          <a:r>
            <a:rPr lang="ro-RO" sz="1100" b="1" baseline="0"/>
            <a:t>A = 30%</a:t>
          </a:r>
          <a:endParaRPr lang="en-US" sz="1100" b="1"/>
        </a:p>
      </cdr:txBody>
    </cdr:sp>
  </cdr:relSizeAnchor>
</c:userShapes>
</file>

<file path=xl/drawings/drawing40.xml><?xml version="1.0" encoding="utf-8"?>
<c:userShapes xmlns:c="http://schemas.openxmlformats.org/drawingml/2006/chart">
  <cdr:relSizeAnchor xmlns:cdr="http://schemas.openxmlformats.org/drawingml/2006/chartDrawing">
    <cdr:from>
      <cdr:x>0.57866</cdr:x>
      <cdr:y>0.07534</cdr:y>
    </cdr:from>
    <cdr:to>
      <cdr:x>0.91995</cdr:x>
      <cdr:y>0.17965</cdr:y>
    </cdr:to>
    <cdr:sp macro="" textlink="">
      <cdr:nvSpPr>
        <cdr:cNvPr id="2" name="TextBox 15"/>
        <cdr:cNvSpPr txBox="1"/>
      </cdr:nvSpPr>
      <cdr:spPr>
        <a:xfrm xmlns:a="http://schemas.openxmlformats.org/drawingml/2006/main">
          <a:off x="2788920" y="204520"/>
          <a:ext cx="1644917" cy="28316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o-RO" sz="1100" b="1" baseline="0"/>
            <a:t>MEA 10% + MDEA 20%</a:t>
          </a:r>
          <a:endParaRPr lang="en-US" sz="1100" b="1"/>
        </a:p>
      </cdr:txBody>
    </cdr:sp>
  </cdr:relSizeAnchor>
</c:userShapes>
</file>

<file path=xl/drawings/drawing41.xml><?xml version="1.0" encoding="utf-8"?>
<c:userShapes xmlns:c="http://schemas.openxmlformats.org/drawingml/2006/chart">
  <cdr:relSizeAnchor xmlns:cdr="http://schemas.openxmlformats.org/drawingml/2006/chartDrawing">
    <cdr:from>
      <cdr:x>0.204</cdr:x>
      <cdr:y>0.10138</cdr:y>
    </cdr:from>
    <cdr:to>
      <cdr:x>0.50839</cdr:x>
      <cdr:y>0.20413</cdr:y>
    </cdr:to>
    <cdr:sp macro="" textlink="">
      <cdr:nvSpPr>
        <cdr:cNvPr id="4" name="TextBox 15"/>
        <cdr:cNvSpPr txBox="1"/>
      </cdr:nvSpPr>
      <cdr:spPr>
        <a:xfrm xmlns:a="http://schemas.openxmlformats.org/drawingml/2006/main">
          <a:off x="1102360" y="279400"/>
          <a:ext cx="1644898" cy="283162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o-RO" sz="1100" b="1" baseline="0"/>
            <a:t>MEA 10% + MDEA 20%</a:t>
          </a:r>
          <a:endParaRPr lang="en-US" sz="1100" b="1"/>
        </a:p>
      </cdr:txBody>
    </cdr:sp>
  </cdr:relSizeAnchor>
</c:userShapes>
</file>

<file path=xl/drawings/drawing42.xml><?xml version="1.0" encoding="utf-8"?>
<c:userShapes xmlns:c="http://schemas.openxmlformats.org/drawingml/2006/chart">
  <cdr:relSizeAnchor xmlns:cdr="http://schemas.openxmlformats.org/drawingml/2006/chartDrawing">
    <cdr:from>
      <cdr:x>0.17475</cdr:x>
      <cdr:y>0.09635</cdr:y>
    </cdr:from>
    <cdr:to>
      <cdr:x>0.54218</cdr:x>
      <cdr:y>0.19964</cdr:y>
    </cdr:to>
    <cdr:sp macro="" textlink="">
      <cdr:nvSpPr>
        <cdr:cNvPr id="2" name="TextBox 15"/>
        <cdr:cNvSpPr txBox="1"/>
      </cdr:nvSpPr>
      <cdr:spPr>
        <a:xfrm xmlns:a="http://schemas.openxmlformats.org/drawingml/2006/main">
          <a:off x="782320" y="264160"/>
          <a:ext cx="1644898" cy="283162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o-RO" sz="1100" b="1" baseline="0"/>
            <a:t>DEA 10% + MDEA 20%</a:t>
          </a:r>
          <a:endParaRPr lang="en-US" sz="1100" b="1"/>
        </a:p>
      </cdr:txBody>
    </cdr:sp>
  </cdr:relSizeAnchor>
</c:userShapes>
</file>

<file path=xl/drawings/drawing43.xml><?xml version="1.0" encoding="utf-8"?>
<c:userShapes xmlns:c="http://schemas.openxmlformats.org/drawingml/2006/chart">
  <cdr:relSizeAnchor xmlns:cdr="http://schemas.openxmlformats.org/drawingml/2006/chartDrawing">
    <cdr:from>
      <cdr:x>0.16733</cdr:x>
      <cdr:y>0.1235</cdr:y>
    </cdr:from>
    <cdr:to>
      <cdr:x>0.47173</cdr:x>
      <cdr:y>0.22626</cdr:y>
    </cdr:to>
    <cdr:sp macro="" textlink="">
      <cdr:nvSpPr>
        <cdr:cNvPr id="3" name="TextBox 15"/>
        <cdr:cNvSpPr txBox="1"/>
      </cdr:nvSpPr>
      <cdr:spPr>
        <a:xfrm xmlns:a="http://schemas.openxmlformats.org/drawingml/2006/main">
          <a:off x="904240" y="340360"/>
          <a:ext cx="1644892" cy="283181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o-RO" sz="1100" b="1" baseline="0"/>
            <a:t>DEA 10% + MDEA 20%</a:t>
          </a:r>
          <a:endParaRPr lang="en-US" sz="1100" b="1"/>
        </a:p>
      </cdr:txBody>
    </cdr:sp>
  </cdr:relSizeAnchor>
</c:userShapes>
</file>

<file path=xl/drawings/drawing44.xml><?xml version="1.0" encoding="utf-8"?>
<c:userShapes xmlns:c="http://schemas.openxmlformats.org/drawingml/2006/chart">
  <cdr:relSizeAnchor xmlns:cdr="http://schemas.openxmlformats.org/drawingml/2006/chartDrawing">
    <cdr:from>
      <cdr:x>0.17475</cdr:x>
      <cdr:y>0.09635</cdr:y>
    </cdr:from>
    <cdr:to>
      <cdr:x>0.54218</cdr:x>
      <cdr:y>0.19964</cdr:y>
    </cdr:to>
    <cdr:sp macro="" textlink="">
      <cdr:nvSpPr>
        <cdr:cNvPr id="2" name="TextBox 15"/>
        <cdr:cNvSpPr txBox="1"/>
      </cdr:nvSpPr>
      <cdr:spPr>
        <a:xfrm xmlns:a="http://schemas.openxmlformats.org/drawingml/2006/main">
          <a:off x="782320" y="264160"/>
          <a:ext cx="1644898" cy="283162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o-RO" sz="1100" b="1" baseline="0"/>
            <a:t>DEA 20% + MDEA 10%</a:t>
          </a:r>
          <a:endParaRPr lang="en-US" sz="1100" b="1"/>
        </a:p>
      </cdr:txBody>
    </cdr:sp>
  </cdr:relSizeAnchor>
</c:userShapes>
</file>

<file path=xl/drawings/drawing45.xml><?xml version="1.0" encoding="utf-8"?>
<c:userShapes xmlns:c="http://schemas.openxmlformats.org/drawingml/2006/chart">
  <cdr:relSizeAnchor xmlns:cdr="http://schemas.openxmlformats.org/drawingml/2006/chartDrawing">
    <cdr:from>
      <cdr:x>0.20026</cdr:x>
      <cdr:y>0.60257</cdr:y>
    </cdr:from>
    <cdr:to>
      <cdr:x>0.54155</cdr:x>
      <cdr:y>0.70689</cdr:y>
    </cdr:to>
    <cdr:sp macro="" textlink="">
      <cdr:nvSpPr>
        <cdr:cNvPr id="2" name="TextBox 15"/>
        <cdr:cNvSpPr txBox="1"/>
      </cdr:nvSpPr>
      <cdr:spPr>
        <a:xfrm xmlns:a="http://schemas.openxmlformats.org/drawingml/2006/main">
          <a:off x="965200" y="1635760"/>
          <a:ext cx="1644892" cy="283181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o-RO" sz="1100" b="1" baseline="0"/>
            <a:t>DEA 20% + MDEA 10%</a:t>
          </a:r>
          <a:endParaRPr lang="en-US" sz="1100" b="1"/>
        </a:p>
      </cdr:txBody>
    </cdr:sp>
  </cdr:relSizeAnchor>
</c:userShapes>
</file>

<file path=xl/drawings/drawing46.xml><?xml version="1.0" encoding="utf-8"?>
<c:userShapes xmlns:c="http://schemas.openxmlformats.org/drawingml/2006/chart">
  <cdr:relSizeAnchor xmlns:cdr="http://schemas.openxmlformats.org/drawingml/2006/chartDrawing">
    <cdr:from>
      <cdr:x>0.18989</cdr:x>
      <cdr:y>0.11797</cdr:y>
    </cdr:from>
    <cdr:to>
      <cdr:x>0.49429</cdr:x>
      <cdr:y>0.22073</cdr:y>
    </cdr:to>
    <cdr:sp macro="" textlink="">
      <cdr:nvSpPr>
        <cdr:cNvPr id="5" name="TextBox 15"/>
        <cdr:cNvSpPr txBox="1"/>
      </cdr:nvSpPr>
      <cdr:spPr>
        <a:xfrm xmlns:a="http://schemas.openxmlformats.org/drawingml/2006/main">
          <a:off x="1026160" y="325120"/>
          <a:ext cx="1644892" cy="283181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o-RO" sz="1100" b="1" baseline="0"/>
            <a:t>DEA 20% + MDEA 10%</a:t>
          </a:r>
          <a:endParaRPr lang="en-US" sz="1100" b="1"/>
        </a:p>
      </cdr:txBody>
    </cdr:sp>
  </cdr:relSizeAnchor>
</c:userShapes>
</file>

<file path=xl/drawings/drawing47.xml><?xml version="1.0" encoding="utf-8"?>
<c:userShapes xmlns:c="http://schemas.openxmlformats.org/drawingml/2006/chart">
  <cdr:relSizeAnchor xmlns:cdr="http://schemas.openxmlformats.org/drawingml/2006/chartDrawing">
    <cdr:from>
      <cdr:x>0.17475</cdr:x>
      <cdr:y>0.09635</cdr:y>
    </cdr:from>
    <cdr:to>
      <cdr:x>0.68426</cdr:x>
      <cdr:y>0.189</cdr:y>
    </cdr:to>
    <cdr:sp macro="" textlink="">
      <cdr:nvSpPr>
        <cdr:cNvPr id="2" name="TextBox 15"/>
        <cdr:cNvSpPr txBox="1"/>
      </cdr:nvSpPr>
      <cdr:spPr>
        <a:xfrm xmlns:a="http://schemas.openxmlformats.org/drawingml/2006/main">
          <a:off x="782312" y="264155"/>
          <a:ext cx="2280928" cy="254006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o-RO" sz="1100" b="1" baseline="0"/>
            <a:t>MEA 10% + DEA 10% + MDEA 10%</a:t>
          </a:r>
          <a:endParaRPr lang="en-US" sz="1100" b="1"/>
        </a:p>
      </cdr:txBody>
    </cdr:sp>
  </cdr:relSizeAnchor>
</c:userShapes>
</file>

<file path=xl/drawings/drawing48.xml><?xml version="1.0" encoding="utf-8"?>
<c:userShapes xmlns:c="http://schemas.openxmlformats.org/drawingml/2006/chart">
  <cdr:relSizeAnchor xmlns:cdr="http://schemas.openxmlformats.org/drawingml/2006/chartDrawing">
    <cdr:from>
      <cdr:x>0.20026</cdr:x>
      <cdr:y>0.60257</cdr:y>
    </cdr:from>
    <cdr:to>
      <cdr:x>0.66403</cdr:x>
      <cdr:y>0.68491</cdr:y>
    </cdr:to>
    <cdr:sp macro="" textlink="">
      <cdr:nvSpPr>
        <cdr:cNvPr id="2" name="TextBox 15"/>
        <cdr:cNvSpPr txBox="1"/>
      </cdr:nvSpPr>
      <cdr:spPr>
        <a:xfrm xmlns:a="http://schemas.openxmlformats.org/drawingml/2006/main">
          <a:off x="965182" y="1635753"/>
          <a:ext cx="2235217" cy="223528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o-RO" sz="1100" b="1" baseline="0"/>
            <a:t>MEA 10% + DEA 10% + MDEA 10%</a:t>
          </a:r>
          <a:endParaRPr lang="en-US" sz="1100" b="1"/>
        </a:p>
      </cdr:txBody>
    </cdr:sp>
  </cdr:relSizeAnchor>
</c:userShapes>
</file>

<file path=xl/drawings/drawing49.xml><?xml version="1.0" encoding="utf-8"?>
<c:userShapes xmlns:c="http://schemas.openxmlformats.org/drawingml/2006/chart">
  <cdr:relSizeAnchor xmlns:cdr="http://schemas.openxmlformats.org/drawingml/2006/chartDrawing">
    <cdr:from>
      <cdr:x>0.18989</cdr:x>
      <cdr:y>0.11797</cdr:y>
    </cdr:from>
    <cdr:to>
      <cdr:x>0.62045</cdr:x>
      <cdr:y>0.2212</cdr:y>
    </cdr:to>
    <cdr:sp macro="" textlink="">
      <cdr:nvSpPr>
        <cdr:cNvPr id="5" name="TextBox 15"/>
        <cdr:cNvSpPr txBox="1"/>
      </cdr:nvSpPr>
      <cdr:spPr>
        <a:xfrm xmlns:a="http://schemas.openxmlformats.org/drawingml/2006/main">
          <a:off x="1026136" y="325114"/>
          <a:ext cx="2326663" cy="284486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o-RO" sz="1100" b="1" baseline="0"/>
            <a:t>MEA 10% + DEA 10% + MDEA 10%</a:t>
          </a:r>
          <a:endParaRPr lang="en-US" sz="1100" b="1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0.17995</cdr:x>
      <cdr:y>0.16441</cdr:y>
    </cdr:from>
    <cdr:to>
      <cdr:x>0.42995</cdr:x>
      <cdr:y>0.27205</cdr:y>
    </cdr:to>
    <cdr:sp macro="" textlink="">
      <cdr:nvSpPr>
        <cdr:cNvPr id="2" name="TextBox 15"/>
        <cdr:cNvSpPr txBox="1"/>
      </cdr:nvSpPr>
      <cdr:spPr>
        <a:xfrm xmlns:a="http://schemas.openxmlformats.org/drawingml/2006/main">
          <a:off x="857012" y="439532"/>
          <a:ext cx="1190625" cy="287759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o-RO" sz="1100" b="1"/>
            <a:t>MEA</a:t>
          </a:r>
          <a:r>
            <a:rPr lang="ro-RO" sz="1100" b="1" baseline="0"/>
            <a:t> = 30 %</a:t>
          </a:r>
          <a:endParaRPr lang="en-US" sz="1100" b="1"/>
        </a:p>
      </cdr:txBody>
    </cdr:sp>
  </cdr:relSizeAnchor>
</c:userShapes>
</file>

<file path=xl/drawings/drawing5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40</xdr:row>
      <xdr:rowOff>0</xdr:rowOff>
    </xdr:from>
    <xdr:to>
      <xdr:col>6</xdr:col>
      <xdr:colOff>581025</xdr:colOff>
      <xdr:row>53</xdr:row>
      <xdr:rowOff>114300</xdr:rowOff>
    </xdr:to>
    <xdr:graphicFrame macro="">
      <xdr:nvGraphicFramePr>
        <xdr:cNvPr id="5" name="Chart 14">
          <a:extLst>
            <a:ext uri="{FF2B5EF4-FFF2-40B4-BE49-F238E27FC236}">
              <a16:creationId xmlns:a16="http://schemas.microsoft.com/office/drawing/2014/main" xmlns="" id="{00000000-0008-0000-01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257175</xdr:colOff>
      <xdr:row>40</xdr:row>
      <xdr:rowOff>76200</xdr:rowOff>
    </xdr:from>
    <xdr:to>
      <xdr:col>13</xdr:col>
      <xdr:colOff>476250</xdr:colOff>
      <xdr:row>53</xdr:row>
      <xdr:rowOff>149225</xdr:rowOff>
    </xdr:to>
    <xdr:graphicFrame macro="">
      <xdr:nvGraphicFramePr>
        <xdr:cNvPr id="6" name="Chart 12">
          <a:extLst>
            <a:ext uri="{FF2B5EF4-FFF2-40B4-BE49-F238E27FC236}">
              <a16:creationId xmlns:a16="http://schemas.microsoft.com/office/drawing/2014/main" xmlns="" id="{0242432C-7DFD-45A3-B78C-955E071C83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40</xdr:row>
      <xdr:rowOff>95250</xdr:rowOff>
    </xdr:from>
    <xdr:to>
      <xdr:col>20</xdr:col>
      <xdr:colOff>180975</xdr:colOff>
      <xdr:row>53</xdr:row>
      <xdr:rowOff>195262</xdr:rowOff>
    </xdr:to>
    <xdr:graphicFrame macro="">
      <xdr:nvGraphicFramePr>
        <xdr:cNvPr id="7" name="Chart 13">
          <a:extLst>
            <a:ext uri="{FF2B5EF4-FFF2-40B4-BE49-F238E27FC236}">
              <a16:creationId xmlns:a16="http://schemas.microsoft.com/office/drawing/2014/main" xmlns="" id="{00000000-0008-0000-01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66675</xdr:colOff>
      <xdr:row>41</xdr:row>
      <xdr:rowOff>9525</xdr:rowOff>
    </xdr:from>
    <xdr:to>
      <xdr:col>20</xdr:col>
      <xdr:colOff>590550</xdr:colOff>
      <xdr:row>42</xdr:row>
      <xdr:rowOff>97260</xdr:rowOff>
    </xdr:to>
    <xdr:sp macro="" textlink="">
      <xdr:nvSpPr>
        <xdr:cNvPr id="8" name="TextBox 15"/>
        <xdr:cNvSpPr txBox="1"/>
      </xdr:nvSpPr>
      <xdr:spPr>
        <a:xfrm>
          <a:off x="19364325" y="8439150"/>
          <a:ext cx="1190625" cy="2877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ro-RO" sz="1100" b="1" baseline="0"/>
            <a:t>D</a:t>
          </a:r>
          <a:r>
            <a:rPr lang="en-US" sz="1100" b="1" baseline="0"/>
            <a:t>G</a:t>
          </a:r>
          <a:r>
            <a:rPr lang="ro-RO" sz="1100" b="1" baseline="0"/>
            <a:t>A = 30%</a:t>
          </a:r>
          <a:endParaRPr lang="en-US" sz="1100" b="1"/>
        </a:p>
      </xdr:txBody>
    </xdr:sp>
    <xdr:clientData/>
  </xdr:twoCellAnchor>
</xdr:wsDr>
</file>

<file path=xl/drawings/drawing51.xml><?xml version="1.0" encoding="utf-8"?>
<c:userShapes xmlns:c="http://schemas.openxmlformats.org/drawingml/2006/chart">
  <cdr:relSizeAnchor xmlns:cdr="http://schemas.openxmlformats.org/drawingml/2006/chartDrawing">
    <cdr:from>
      <cdr:x>0.21321</cdr:x>
      <cdr:y>0.09564</cdr:y>
    </cdr:from>
    <cdr:to>
      <cdr:x>0.46321</cdr:x>
      <cdr:y>0.20328</cdr:y>
    </cdr:to>
    <cdr:sp macro="" textlink="">
      <cdr:nvSpPr>
        <cdr:cNvPr id="2" name="TextBox 15"/>
        <cdr:cNvSpPr txBox="1"/>
      </cdr:nvSpPr>
      <cdr:spPr>
        <a:xfrm xmlns:a="http://schemas.openxmlformats.org/drawingml/2006/main">
          <a:off x="1151465" y="259627"/>
          <a:ext cx="1350169" cy="292202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o-RO" sz="1100" b="1" baseline="0"/>
            <a:t>D</a:t>
          </a:r>
          <a:r>
            <a:rPr lang="en-US" sz="1100" b="1" baseline="0"/>
            <a:t>G</a:t>
          </a:r>
          <a:r>
            <a:rPr lang="ro-RO" sz="1100" b="1" baseline="0"/>
            <a:t>A = 30%</a:t>
          </a:r>
          <a:endParaRPr lang="en-US" sz="1100" b="1"/>
        </a:p>
      </cdr:txBody>
    </cdr:sp>
  </cdr:relSizeAnchor>
</c:userShapes>
</file>

<file path=xl/drawings/drawing52.xml><?xml version="1.0" encoding="utf-8"?>
<c:userShapes xmlns:c="http://schemas.openxmlformats.org/drawingml/2006/chart">
  <cdr:relSizeAnchor xmlns:cdr="http://schemas.openxmlformats.org/drawingml/2006/chartDrawing">
    <cdr:from>
      <cdr:x>0.71104</cdr:x>
      <cdr:y>0.10741</cdr:y>
    </cdr:from>
    <cdr:to>
      <cdr:x>0.96104</cdr:x>
      <cdr:y>0.21505</cdr:y>
    </cdr:to>
    <cdr:sp macro="" textlink="">
      <cdr:nvSpPr>
        <cdr:cNvPr id="2" name="TextBox 15"/>
        <cdr:cNvSpPr txBox="1"/>
      </cdr:nvSpPr>
      <cdr:spPr>
        <a:xfrm xmlns:a="http://schemas.openxmlformats.org/drawingml/2006/main">
          <a:off x="3000278" y="287135"/>
          <a:ext cx="1054894" cy="28776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o-RO" sz="1100" b="1" baseline="0"/>
            <a:t>D</a:t>
          </a:r>
          <a:r>
            <a:rPr lang="en-US" sz="1100" b="1" baseline="0"/>
            <a:t>G</a:t>
          </a:r>
          <a:r>
            <a:rPr lang="ro-RO" sz="1100" b="1" baseline="0"/>
            <a:t>A = 30%</a:t>
          </a:r>
          <a:endParaRPr lang="en-US" sz="1100" b="1"/>
        </a:p>
      </cdr:txBody>
    </cdr:sp>
  </cdr:relSizeAnchor>
</c:userShapes>
</file>

<file path=xl/drawings/drawing53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133350</xdr:colOff>
      <xdr:row>49</xdr:row>
      <xdr:rowOff>140970</xdr:rowOff>
    </xdr:from>
    <xdr:to>
      <xdr:col>26</xdr:col>
      <xdr:colOff>438150</xdr:colOff>
      <xdr:row>63</xdr:row>
      <xdr:rowOff>110490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36</xdr:row>
      <xdr:rowOff>45720</xdr:rowOff>
    </xdr:from>
    <xdr:to>
      <xdr:col>26</xdr:col>
      <xdr:colOff>342900</xdr:colOff>
      <xdr:row>48</xdr:row>
      <xdr:rowOff>57150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xmlns="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453390</xdr:colOff>
      <xdr:row>65</xdr:row>
      <xdr:rowOff>118110</xdr:rowOff>
    </xdr:from>
    <xdr:to>
      <xdr:col>25</xdr:col>
      <xdr:colOff>758190</xdr:colOff>
      <xdr:row>79</xdr:row>
      <xdr:rowOff>87630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xmlns="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636270</xdr:colOff>
      <xdr:row>82</xdr:row>
      <xdr:rowOff>11430</xdr:rowOff>
    </xdr:from>
    <xdr:to>
      <xdr:col>24</xdr:col>
      <xdr:colOff>87630</xdr:colOff>
      <xdr:row>95</xdr:row>
      <xdr:rowOff>179070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xmlns="" id="{00000000-0008-0000-01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331470</xdr:colOff>
      <xdr:row>47</xdr:row>
      <xdr:rowOff>102870</xdr:rowOff>
    </xdr:from>
    <xdr:to>
      <xdr:col>22</xdr:col>
      <xdr:colOff>640080</xdr:colOff>
      <xdr:row>61</xdr:row>
      <xdr:rowOff>70485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xmlns="" id="{00000000-0008-0000-01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624840</xdr:colOff>
      <xdr:row>89</xdr:row>
      <xdr:rowOff>26670</xdr:rowOff>
    </xdr:from>
    <xdr:to>
      <xdr:col>17</xdr:col>
      <xdr:colOff>76200</xdr:colOff>
      <xdr:row>102</xdr:row>
      <xdr:rowOff>194310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xmlns="" id="{00000000-0008-0000-01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404813</xdr:colOff>
      <xdr:row>0</xdr:row>
      <xdr:rowOff>0</xdr:rowOff>
    </xdr:from>
    <xdr:to>
      <xdr:col>19</xdr:col>
      <xdr:colOff>690563</xdr:colOff>
      <xdr:row>12</xdr:row>
      <xdr:rowOff>19051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xmlns="" id="{00000000-0008-0000-01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481013</xdr:colOff>
      <xdr:row>27</xdr:row>
      <xdr:rowOff>128588</xdr:rowOff>
    </xdr:from>
    <xdr:to>
      <xdr:col>20</xdr:col>
      <xdr:colOff>738188</xdr:colOff>
      <xdr:row>41</xdr:row>
      <xdr:rowOff>42863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xmlns="" id="{00000000-0008-0000-01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478631</xdr:colOff>
      <xdr:row>14</xdr:row>
      <xdr:rowOff>14288</xdr:rowOff>
    </xdr:from>
    <xdr:to>
      <xdr:col>20</xdr:col>
      <xdr:colOff>97631</xdr:colOff>
      <xdr:row>26</xdr:row>
      <xdr:rowOff>30163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xmlns="" id="{0242432C-7DFD-45A3-B78C-955E071C83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657225</xdr:colOff>
      <xdr:row>0</xdr:row>
      <xdr:rowOff>0</xdr:rowOff>
    </xdr:from>
    <xdr:to>
      <xdr:col>15</xdr:col>
      <xdr:colOff>85725</xdr:colOff>
      <xdr:row>0</xdr:row>
      <xdr:rowOff>57150</xdr:rowOff>
    </xdr:to>
    <xdr:sp macro="" textlink="">
      <xdr:nvSpPr>
        <xdr:cNvPr id="17" name="TextBox 15">
          <a:extLst>
            <a:ext uri="{FF2B5EF4-FFF2-40B4-BE49-F238E27FC236}">
              <a16:creationId xmlns:a16="http://schemas.microsoft.com/office/drawing/2014/main" xmlns="" id="{00000000-0008-0000-0100-000010000000}"/>
            </a:ext>
          </a:extLst>
        </xdr:cNvPr>
        <xdr:cNvSpPr txBox="1"/>
      </xdr:nvSpPr>
      <xdr:spPr>
        <a:xfrm>
          <a:off x="15582900" y="161925"/>
          <a:ext cx="1143000" cy="2952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o-RO" sz="1100" b="1"/>
            <a:t>MEA</a:t>
          </a:r>
          <a:r>
            <a:rPr lang="ro-RO" sz="1100" b="1" baseline="0"/>
            <a:t> = 30 %</a:t>
          </a:r>
          <a:endParaRPr lang="en-US" sz="1100" b="1"/>
        </a:p>
      </xdr:txBody>
    </xdr:sp>
    <xdr:clientData/>
  </xdr:twoCellAnchor>
</xdr:wsDr>
</file>

<file path=xl/drawings/drawing54.xml><?xml version="1.0" encoding="utf-8"?>
<c:userShapes xmlns:c="http://schemas.openxmlformats.org/drawingml/2006/chart">
  <cdr:relSizeAnchor xmlns:cdr="http://schemas.openxmlformats.org/drawingml/2006/chartDrawing">
    <cdr:from>
      <cdr:x>0.19028</cdr:x>
      <cdr:y>0.02546</cdr:y>
    </cdr:from>
    <cdr:to>
      <cdr:x>0.44028</cdr:x>
      <cdr:y>0.1331</cdr:y>
    </cdr:to>
    <cdr:sp macro="" textlink="">
      <cdr:nvSpPr>
        <cdr:cNvPr id="2" name="TextBox 15"/>
        <cdr:cNvSpPr txBox="1"/>
      </cdr:nvSpPr>
      <cdr:spPr>
        <a:xfrm xmlns:a="http://schemas.openxmlformats.org/drawingml/2006/main">
          <a:off x="869950" y="69850"/>
          <a:ext cx="1143000" cy="295275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o-RO" sz="1100" b="1"/>
            <a:t>MEA</a:t>
          </a:r>
          <a:r>
            <a:rPr lang="ro-RO" sz="1100" b="1" baseline="0"/>
            <a:t> = 30%</a:t>
          </a:r>
          <a:endParaRPr lang="en-US" sz="1100" b="1"/>
        </a:p>
      </cdr:txBody>
    </cdr:sp>
  </cdr:relSizeAnchor>
</c:userShapes>
</file>

<file path=xl/drawings/drawing55.xml><?xml version="1.0" encoding="utf-8"?>
<c:userShapes xmlns:c="http://schemas.openxmlformats.org/drawingml/2006/chart">
  <cdr:relSizeAnchor xmlns:cdr="http://schemas.openxmlformats.org/drawingml/2006/chartDrawing">
    <cdr:from>
      <cdr:x>0.17995</cdr:x>
      <cdr:y>0.16441</cdr:y>
    </cdr:from>
    <cdr:to>
      <cdr:x>0.42995</cdr:x>
      <cdr:y>0.27205</cdr:y>
    </cdr:to>
    <cdr:sp macro="" textlink="">
      <cdr:nvSpPr>
        <cdr:cNvPr id="2" name="TextBox 15"/>
        <cdr:cNvSpPr txBox="1"/>
      </cdr:nvSpPr>
      <cdr:spPr>
        <a:xfrm xmlns:a="http://schemas.openxmlformats.org/drawingml/2006/main">
          <a:off x="857012" y="439532"/>
          <a:ext cx="1190625" cy="287759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o-RO" sz="1100" b="1"/>
            <a:t>MEA</a:t>
          </a:r>
          <a:r>
            <a:rPr lang="ro-RO" sz="1100" b="1" baseline="0"/>
            <a:t> = 30 %</a:t>
          </a:r>
          <a:endParaRPr lang="en-US" sz="1100" b="1"/>
        </a:p>
      </cdr:txBody>
    </cdr:sp>
  </cdr:relSizeAnchor>
</c:userShapes>
</file>

<file path=xl/drawings/drawing5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43</xdr:row>
      <xdr:rowOff>0</xdr:rowOff>
    </xdr:from>
    <xdr:to>
      <xdr:col>1</xdr:col>
      <xdr:colOff>981075</xdr:colOff>
      <xdr:row>56</xdr:row>
      <xdr:rowOff>114300</xdr:rowOff>
    </xdr:to>
    <xdr:graphicFrame macro="">
      <xdr:nvGraphicFramePr>
        <xdr:cNvPr id="2" name="Chart 14">
          <a:extLst>
            <a:ext uri="{FF2B5EF4-FFF2-40B4-BE49-F238E27FC236}">
              <a16:creationId xmlns:a16="http://schemas.microsoft.com/office/drawing/2014/main" xmlns="" id="{00000000-0008-0000-01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43</xdr:row>
      <xdr:rowOff>0</xdr:rowOff>
    </xdr:from>
    <xdr:to>
      <xdr:col>10</xdr:col>
      <xdr:colOff>95250</xdr:colOff>
      <xdr:row>56</xdr:row>
      <xdr:rowOff>73025</xdr:rowOff>
    </xdr:to>
    <xdr:graphicFrame macro="">
      <xdr:nvGraphicFramePr>
        <xdr:cNvPr id="3" name="Chart 12">
          <a:extLst>
            <a:ext uri="{FF2B5EF4-FFF2-40B4-BE49-F238E27FC236}">
              <a16:creationId xmlns:a16="http://schemas.microsoft.com/office/drawing/2014/main" xmlns="" id="{0242432C-7DFD-45A3-B78C-955E071C83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43</xdr:row>
      <xdr:rowOff>0</xdr:rowOff>
    </xdr:from>
    <xdr:to>
      <xdr:col>18</xdr:col>
      <xdr:colOff>571500</xdr:colOff>
      <xdr:row>56</xdr:row>
      <xdr:rowOff>100012</xdr:rowOff>
    </xdr:to>
    <xdr:graphicFrame macro="">
      <xdr:nvGraphicFramePr>
        <xdr:cNvPr id="4" name="Chart 13">
          <a:extLst>
            <a:ext uri="{FF2B5EF4-FFF2-40B4-BE49-F238E27FC236}">
              <a16:creationId xmlns:a16="http://schemas.microsoft.com/office/drawing/2014/main" xmlns="" id="{00000000-0008-0000-01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619125</xdr:colOff>
      <xdr:row>43</xdr:row>
      <xdr:rowOff>114300</xdr:rowOff>
    </xdr:from>
    <xdr:to>
      <xdr:col>14</xdr:col>
      <xdr:colOff>476250</xdr:colOff>
      <xdr:row>45</xdr:row>
      <xdr:rowOff>2010</xdr:rowOff>
    </xdr:to>
    <xdr:sp macro="" textlink="">
      <xdr:nvSpPr>
        <xdr:cNvPr id="5" name="TextBox 15"/>
        <xdr:cNvSpPr txBox="1"/>
      </xdr:nvSpPr>
      <xdr:spPr>
        <a:xfrm>
          <a:off x="13287375" y="8943975"/>
          <a:ext cx="1190625" cy="2877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ro-RO" sz="1100" b="1" baseline="0"/>
            <a:t>DEA = 30%</a:t>
          </a:r>
          <a:endParaRPr lang="en-US" sz="1100" b="1"/>
        </a:p>
      </xdr:txBody>
    </xdr:sp>
    <xdr:clientData/>
  </xdr:twoCellAnchor>
</xdr:wsDr>
</file>

<file path=xl/drawings/drawing57.xml><?xml version="1.0" encoding="utf-8"?>
<c:userShapes xmlns:c="http://schemas.openxmlformats.org/drawingml/2006/chart">
  <cdr:relSizeAnchor xmlns:cdr="http://schemas.openxmlformats.org/drawingml/2006/chartDrawing">
    <cdr:from>
      <cdr:x>0.21321</cdr:x>
      <cdr:y>0.09564</cdr:y>
    </cdr:from>
    <cdr:to>
      <cdr:x>0.46321</cdr:x>
      <cdr:y>0.20328</cdr:y>
    </cdr:to>
    <cdr:sp macro="" textlink="">
      <cdr:nvSpPr>
        <cdr:cNvPr id="2" name="TextBox 15"/>
        <cdr:cNvSpPr txBox="1"/>
      </cdr:nvSpPr>
      <cdr:spPr>
        <a:xfrm xmlns:a="http://schemas.openxmlformats.org/drawingml/2006/main">
          <a:off x="1151465" y="259627"/>
          <a:ext cx="1350169" cy="292202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o-RO" sz="1100" b="1" baseline="0"/>
            <a:t>DEA = 30%</a:t>
          </a:r>
          <a:endParaRPr lang="en-US" sz="1100" b="1"/>
        </a:p>
      </cdr:txBody>
    </cdr:sp>
  </cdr:relSizeAnchor>
</c:userShapes>
</file>

<file path=xl/drawings/drawing58.xml><?xml version="1.0" encoding="utf-8"?>
<c:userShapes xmlns:c="http://schemas.openxmlformats.org/drawingml/2006/chart">
  <cdr:relSizeAnchor xmlns:cdr="http://schemas.openxmlformats.org/drawingml/2006/chartDrawing">
    <cdr:from>
      <cdr:x>0.66995</cdr:x>
      <cdr:y>0.07534</cdr:y>
    </cdr:from>
    <cdr:to>
      <cdr:x>0.91995</cdr:x>
      <cdr:y>0.18298</cdr:y>
    </cdr:to>
    <cdr:sp macro="" textlink="">
      <cdr:nvSpPr>
        <cdr:cNvPr id="2" name="TextBox 15"/>
        <cdr:cNvSpPr txBox="1"/>
      </cdr:nvSpPr>
      <cdr:spPr>
        <a:xfrm xmlns:a="http://schemas.openxmlformats.org/drawingml/2006/main">
          <a:off x="3190637" y="201407"/>
          <a:ext cx="1190625" cy="287759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o-RO" sz="1100" b="1" baseline="0"/>
            <a:t>DEA = 30%</a:t>
          </a:r>
          <a:endParaRPr lang="en-US" sz="1100" b="1"/>
        </a:p>
      </cdr:txBody>
    </cdr:sp>
  </cdr:relSizeAnchor>
</c:userShapes>
</file>

<file path=xl/drawings/drawing5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0</xdr:rowOff>
    </xdr:from>
    <xdr:to>
      <xdr:col>7</xdr:col>
      <xdr:colOff>307975</xdr:colOff>
      <xdr:row>54</xdr:row>
      <xdr:rowOff>155575</xdr:rowOff>
    </xdr:to>
    <xdr:graphicFrame macro="">
      <xdr:nvGraphicFramePr>
        <xdr:cNvPr id="2" name="Chart 14">
          <a:extLst>
            <a:ext uri="{FF2B5EF4-FFF2-40B4-BE49-F238E27FC236}">
              <a16:creationId xmlns:a16="http://schemas.microsoft.com/office/drawing/2014/main" xmlns="" id="{00000000-0008-0000-01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41</xdr:row>
      <xdr:rowOff>0</xdr:rowOff>
    </xdr:from>
    <xdr:to>
      <xdr:col>17</xdr:col>
      <xdr:colOff>152400</xdr:colOff>
      <xdr:row>54</xdr:row>
      <xdr:rowOff>114300</xdr:rowOff>
    </xdr:to>
    <xdr:graphicFrame macro="">
      <xdr:nvGraphicFramePr>
        <xdr:cNvPr id="3" name="Chart 12">
          <a:extLst>
            <a:ext uri="{FF2B5EF4-FFF2-40B4-BE49-F238E27FC236}">
              <a16:creationId xmlns:a16="http://schemas.microsoft.com/office/drawing/2014/main" xmlns="" id="{0242432C-7DFD-45A3-B78C-955E071C83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</xdr:colOff>
      <xdr:row>41</xdr:row>
      <xdr:rowOff>0</xdr:rowOff>
    </xdr:from>
    <xdr:to>
      <xdr:col>26</xdr:col>
      <xdr:colOff>476250</xdr:colOff>
      <xdr:row>54</xdr:row>
      <xdr:rowOff>141287</xdr:rowOff>
    </xdr:to>
    <xdr:graphicFrame macro="">
      <xdr:nvGraphicFramePr>
        <xdr:cNvPr id="4" name="Chart 13">
          <a:extLst>
            <a:ext uri="{FF2B5EF4-FFF2-40B4-BE49-F238E27FC236}">
              <a16:creationId xmlns:a16="http://schemas.microsoft.com/office/drawing/2014/main" xmlns="" id="{00000000-0008-0000-01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0.19028</cdr:x>
      <cdr:y>0.02546</cdr:y>
    </cdr:from>
    <cdr:to>
      <cdr:x>0.44028</cdr:x>
      <cdr:y>0.1331</cdr:y>
    </cdr:to>
    <cdr:sp macro="" textlink="">
      <cdr:nvSpPr>
        <cdr:cNvPr id="2" name="TextBox 15"/>
        <cdr:cNvSpPr txBox="1"/>
      </cdr:nvSpPr>
      <cdr:spPr>
        <a:xfrm xmlns:a="http://schemas.openxmlformats.org/drawingml/2006/main">
          <a:off x="869950" y="69850"/>
          <a:ext cx="1143000" cy="295275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o-RO" sz="1100" b="1"/>
            <a:t>MEA</a:t>
          </a:r>
          <a:r>
            <a:rPr lang="ro-RO" sz="1100" b="1" baseline="0"/>
            <a:t> = 30%</a:t>
          </a:r>
          <a:endParaRPr lang="en-US" sz="1100" b="1"/>
        </a:p>
      </cdr:txBody>
    </cdr:sp>
  </cdr:relSizeAnchor>
</c:userShapes>
</file>

<file path=xl/drawings/drawing60.xml><?xml version="1.0" encoding="utf-8"?>
<c:userShapes xmlns:c="http://schemas.openxmlformats.org/drawingml/2006/chart">
  <cdr:relSizeAnchor xmlns:cdr="http://schemas.openxmlformats.org/drawingml/2006/chartDrawing">
    <cdr:from>
      <cdr:x>0.69822</cdr:x>
      <cdr:y>0.62897</cdr:y>
    </cdr:from>
    <cdr:to>
      <cdr:x>0.94822</cdr:x>
      <cdr:y>0.73661</cdr:y>
    </cdr:to>
    <cdr:sp macro="" textlink="">
      <cdr:nvSpPr>
        <cdr:cNvPr id="2" name="TextBox 15"/>
        <cdr:cNvSpPr txBox="1"/>
      </cdr:nvSpPr>
      <cdr:spPr>
        <a:xfrm xmlns:a="http://schemas.openxmlformats.org/drawingml/2006/main">
          <a:off x="3770853" y="1707427"/>
          <a:ext cx="1350169" cy="292202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o-RO" sz="1100" b="1" baseline="0"/>
            <a:t>MDEA = 30%</a:t>
          </a:r>
          <a:endParaRPr lang="en-US" sz="1100" b="1"/>
        </a:p>
      </cdr:txBody>
    </cdr:sp>
  </cdr:relSizeAnchor>
</c:userShapes>
</file>

<file path=xl/drawings/drawing61.xml><?xml version="1.0" encoding="utf-8"?>
<c:userShapes xmlns:c="http://schemas.openxmlformats.org/drawingml/2006/chart">
  <cdr:relSizeAnchor xmlns:cdr="http://schemas.openxmlformats.org/drawingml/2006/chartDrawing">
    <cdr:from>
      <cdr:x>0.66995</cdr:x>
      <cdr:y>0.07534</cdr:y>
    </cdr:from>
    <cdr:to>
      <cdr:x>0.91995</cdr:x>
      <cdr:y>0.18298</cdr:y>
    </cdr:to>
    <cdr:sp macro="" textlink="">
      <cdr:nvSpPr>
        <cdr:cNvPr id="2" name="TextBox 15"/>
        <cdr:cNvSpPr txBox="1"/>
      </cdr:nvSpPr>
      <cdr:spPr>
        <a:xfrm xmlns:a="http://schemas.openxmlformats.org/drawingml/2006/main">
          <a:off x="3190637" y="201407"/>
          <a:ext cx="1190625" cy="287759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o-RO" sz="1100" b="1" baseline="0"/>
            <a:t>MDEA = 30%</a:t>
          </a:r>
          <a:endParaRPr lang="en-US" sz="1100" b="1"/>
        </a:p>
      </cdr:txBody>
    </cdr:sp>
  </cdr:relSizeAnchor>
</c:userShapes>
</file>

<file path=xl/drawings/drawing62.xml><?xml version="1.0" encoding="utf-8"?>
<c:userShapes xmlns:c="http://schemas.openxmlformats.org/drawingml/2006/chart">
  <cdr:relSizeAnchor xmlns:cdr="http://schemas.openxmlformats.org/drawingml/2006/chartDrawing">
    <cdr:from>
      <cdr:x>0.14877</cdr:x>
      <cdr:y>0.08454</cdr:y>
    </cdr:from>
    <cdr:to>
      <cdr:x>0.38302</cdr:x>
      <cdr:y>0.19112</cdr:y>
    </cdr:to>
    <cdr:sp macro="" textlink="">
      <cdr:nvSpPr>
        <cdr:cNvPr id="2" name="TextBox 15"/>
        <cdr:cNvSpPr txBox="1"/>
      </cdr:nvSpPr>
      <cdr:spPr>
        <a:xfrm xmlns:a="http://schemas.openxmlformats.org/drawingml/2006/main">
          <a:off x="765175" y="231775"/>
          <a:ext cx="1204912" cy="292202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o-RO" sz="1100" b="1" baseline="0"/>
            <a:t>MDEA = 30%</a:t>
          </a:r>
          <a:endParaRPr lang="en-US" sz="1100" b="1"/>
        </a:p>
      </cdr:txBody>
    </cdr:sp>
  </cdr:relSizeAnchor>
</c:userShapes>
</file>

<file path=xl/drawings/drawing6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581025</xdr:colOff>
      <xdr:row>1</xdr:row>
      <xdr:rowOff>104775</xdr:rowOff>
    </xdr:from>
    <xdr:to>
      <xdr:col>26</xdr:col>
      <xdr:colOff>485775</xdr:colOff>
      <xdr:row>14</xdr:row>
      <xdr:rowOff>90487</xdr:rowOff>
    </xdr:to>
    <xdr:graphicFrame macro="">
      <xdr:nvGraphicFramePr>
        <xdr:cNvPr id="2" name="Chart 13">
          <a:extLst>
            <a:ext uri="{FF2B5EF4-FFF2-40B4-BE49-F238E27FC236}">
              <a16:creationId xmlns:a16="http://schemas.microsoft.com/office/drawing/2014/main" xmlns="" id="{00000000-0008-0000-01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581025</xdr:colOff>
      <xdr:row>15</xdr:row>
      <xdr:rowOff>0</xdr:rowOff>
    </xdr:from>
    <xdr:to>
      <xdr:col>27</xdr:col>
      <xdr:colOff>9525</xdr:colOff>
      <xdr:row>27</xdr:row>
      <xdr:rowOff>158750</xdr:rowOff>
    </xdr:to>
    <xdr:graphicFrame macro="">
      <xdr:nvGraphicFramePr>
        <xdr:cNvPr id="3" name="Chart 12">
          <a:extLst>
            <a:ext uri="{FF2B5EF4-FFF2-40B4-BE49-F238E27FC236}">
              <a16:creationId xmlns:a16="http://schemas.microsoft.com/office/drawing/2014/main" xmlns="" id="{0242432C-7DFD-45A3-B78C-955E071C83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276225</xdr:colOff>
      <xdr:row>28</xdr:row>
      <xdr:rowOff>133350</xdr:rowOff>
    </xdr:from>
    <xdr:to>
      <xdr:col>28</xdr:col>
      <xdr:colOff>342900</xdr:colOff>
      <xdr:row>42</xdr:row>
      <xdr:rowOff>47625</xdr:rowOff>
    </xdr:to>
    <xdr:graphicFrame macro="">
      <xdr:nvGraphicFramePr>
        <xdr:cNvPr id="4" name="Chart 14">
          <a:extLst>
            <a:ext uri="{FF2B5EF4-FFF2-40B4-BE49-F238E27FC236}">
              <a16:creationId xmlns:a16="http://schemas.microsoft.com/office/drawing/2014/main" xmlns="" id="{00000000-0008-0000-01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657225</xdr:colOff>
      <xdr:row>1</xdr:row>
      <xdr:rowOff>142875</xdr:rowOff>
    </xdr:from>
    <xdr:to>
      <xdr:col>22</xdr:col>
      <xdr:colOff>514350</xdr:colOff>
      <xdr:row>3</xdr:row>
      <xdr:rowOff>30584</xdr:rowOff>
    </xdr:to>
    <xdr:sp macro="" textlink="">
      <xdr:nvSpPr>
        <xdr:cNvPr id="5" name="TextBox 15"/>
        <xdr:cNvSpPr txBox="1"/>
      </xdr:nvSpPr>
      <xdr:spPr>
        <a:xfrm>
          <a:off x="17849850" y="342900"/>
          <a:ext cx="1190625" cy="28775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ro-RO" sz="1100" b="1"/>
            <a:t>MEA</a:t>
          </a:r>
          <a:r>
            <a:rPr lang="ro-RO" sz="1100" b="1" baseline="0"/>
            <a:t> = 20%</a:t>
          </a:r>
          <a:endParaRPr lang="en-US" sz="1100" b="1"/>
        </a:p>
      </xdr:txBody>
    </xdr:sp>
    <xdr:clientData/>
  </xdr:twoCellAnchor>
</xdr:wsDr>
</file>

<file path=xl/drawings/drawing64.xml><?xml version="1.0" encoding="utf-8"?>
<c:userShapes xmlns:c="http://schemas.openxmlformats.org/drawingml/2006/chart">
  <cdr:relSizeAnchor xmlns:cdr="http://schemas.openxmlformats.org/drawingml/2006/chartDrawing">
    <cdr:from>
      <cdr:x>0.66995</cdr:x>
      <cdr:y>0.07534</cdr:y>
    </cdr:from>
    <cdr:to>
      <cdr:x>0.91995</cdr:x>
      <cdr:y>0.18298</cdr:y>
    </cdr:to>
    <cdr:sp macro="" textlink="">
      <cdr:nvSpPr>
        <cdr:cNvPr id="2" name="TextBox 15"/>
        <cdr:cNvSpPr txBox="1"/>
      </cdr:nvSpPr>
      <cdr:spPr>
        <a:xfrm xmlns:a="http://schemas.openxmlformats.org/drawingml/2006/main">
          <a:off x="3190637" y="201407"/>
          <a:ext cx="1190625" cy="287759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o-RO" sz="1100" b="1"/>
            <a:t>MEA</a:t>
          </a:r>
          <a:r>
            <a:rPr lang="ro-RO" sz="1100" b="1" baseline="0"/>
            <a:t> = 20%</a:t>
          </a:r>
          <a:endParaRPr lang="en-US" sz="1100" b="1"/>
        </a:p>
      </cdr:txBody>
    </cdr:sp>
  </cdr:relSizeAnchor>
</c:userShapes>
</file>

<file path=xl/drawings/drawing65.xml><?xml version="1.0" encoding="utf-8"?>
<c:userShapes xmlns:c="http://schemas.openxmlformats.org/drawingml/2006/chart">
  <cdr:relSizeAnchor xmlns:cdr="http://schemas.openxmlformats.org/drawingml/2006/chartDrawing">
    <cdr:from>
      <cdr:x>0.17088</cdr:x>
      <cdr:y>0.06757</cdr:y>
    </cdr:from>
    <cdr:to>
      <cdr:x>0.42088</cdr:x>
      <cdr:y>0.17521</cdr:y>
    </cdr:to>
    <cdr:sp macro="" textlink="">
      <cdr:nvSpPr>
        <cdr:cNvPr id="2" name="TextBox 15"/>
        <cdr:cNvSpPr txBox="1"/>
      </cdr:nvSpPr>
      <cdr:spPr>
        <a:xfrm xmlns:a="http://schemas.openxmlformats.org/drawingml/2006/main">
          <a:off x="922865" y="183414"/>
          <a:ext cx="1350169" cy="292203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o-RO" sz="1100" b="1"/>
            <a:t>MEA</a:t>
          </a:r>
          <a:r>
            <a:rPr lang="ro-RO" sz="1100" b="1" baseline="0"/>
            <a:t> = 20%</a:t>
          </a:r>
          <a:endParaRPr lang="en-US" sz="1100" b="1"/>
        </a:p>
      </cdr:txBody>
    </cdr:sp>
  </cdr:relSizeAnchor>
</c:userShapes>
</file>

<file path=xl/drawings/drawing6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42</xdr:row>
      <xdr:rowOff>0</xdr:rowOff>
    </xdr:from>
    <xdr:to>
      <xdr:col>1</xdr:col>
      <xdr:colOff>1200150</xdr:colOff>
      <xdr:row>55</xdr:row>
      <xdr:rowOff>114300</xdr:rowOff>
    </xdr:to>
    <xdr:graphicFrame macro="">
      <xdr:nvGraphicFramePr>
        <xdr:cNvPr id="2" name="Chart 14">
          <a:extLst>
            <a:ext uri="{FF2B5EF4-FFF2-40B4-BE49-F238E27FC236}">
              <a16:creationId xmlns:a16="http://schemas.microsoft.com/office/drawing/2014/main" xmlns="" id="{00000000-0008-0000-01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42</xdr:row>
      <xdr:rowOff>0</xdr:rowOff>
    </xdr:from>
    <xdr:to>
      <xdr:col>10</xdr:col>
      <xdr:colOff>95250</xdr:colOff>
      <xdr:row>55</xdr:row>
      <xdr:rowOff>73025</xdr:rowOff>
    </xdr:to>
    <xdr:graphicFrame macro="">
      <xdr:nvGraphicFramePr>
        <xdr:cNvPr id="3" name="Chart 12">
          <a:extLst>
            <a:ext uri="{FF2B5EF4-FFF2-40B4-BE49-F238E27FC236}">
              <a16:creationId xmlns:a16="http://schemas.microsoft.com/office/drawing/2014/main" xmlns="" id="{0242432C-7DFD-45A3-B78C-955E071C83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42</xdr:row>
      <xdr:rowOff>0</xdr:rowOff>
    </xdr:from>
    <xdr:to>
      <xdr:col>17</xdr:col>
      <xdr:colOff>571500</xdr:colOff>
      <xdr:row>55</xdr:row>
      <xdr:rowOff>100012</xdr:rowOff>
    </xdr:to>
    <xdr:graphicFrame macro="">
      <xdr:nvGraphicFramePr>
        <xdr:cNvPr id="4" name="Chart 13">
          <a:extLst>
            <a:ext uri="{FF2B5EF4-FFF2-40B4-BE49-F238E27FC236}">
              <a16:creationId xmlns:a16="http://schemas.microsoft.com/office/drawing/2014/main" xmlns="" id="{00000000-0008-0000-01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7.xml><?xml version="1.0" encoding="utf-8"?>
<c:userShapes xmlns:c="http://schemas.openxmlformats.org/drawingml/2006/chart">
  <cdr:relSizeAnchor xmlns:cdr="http://schemas.openxmlformats.org/drawingml/2006/chartDrawing">
    <cdr:from>
      <cdr:x>0.69822</cdr:x>
      <cdr:y>0.62897</cdr:y>
    </cdr:from>
    <cdr:to>
      <cdr:x>0.94822</cdr:x>
      <cdr:y>0.73661</cdr:y>
    </cdr:to>
    <cdr:sp macro="" textlink="">
      <cdr:nvSpPr>
        <cdr:cNvPr id="2" name="TextBox 15"/>
        <cdr:cNvSpPr txBox="1"/>
      </cdr:nvSpPr>
      <cdr:spPr>
        <a:xfrm xmlns:a="http://schemas.openxmlformats.org/drawingml/2006/main">
          <a:off x="3770853" y="1707427"/>
          <a:ext cx="1350169" cy="292202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o-RO" sz="1100" b="1" baseline="0"/>
            <a:t>DEA = 30%</a:t>
          </a:r>
          <a:endParaRPr lang="en-US" sz="1100" b="1"/>
        </a:p>
      </cdr:txBody>
    </cdr:sp>
  </cdr:relSizeAnchor>
</c:userShapes>
</file>

<file path=xl/drawings/drawing68.xml><?xml version="1.0" encoding="utf-8"?>
<c:userShapes xmlns:c="http://schemas.openxmlformats.org/drawingml/2006/chart">
  <cdr:relSizeAnchor xmlns:cdr="http://schemas.openxmlformats.org/drawingml/2006/chartDrawing">
    <cdr:from>
      <cdr:x>0.66995</cdr:x>
      <cdr:y>0.07534</cdr:y>
    </cdr:from>
    <cdr:to>
      <cdr:x>0.91995</cdr:x>
      <cdr:y>0.18298</cdr:y>
    </cdr:to>
    <cdr:sp macro="" textlink="">
      <cdr:nvSpPr>
        <cdr:cNvPr id="2" name="TextBox 15"/>
        <cdr:cNvSpPr txBox="1"/>
      </cdr:nvSpPr>
      <cdr:spPr>
        <a:xfrm xmlns:a="http://schemas.openxmlformats.org/drawingml/2006/main">
          <a:off x="3190637" y="201407"/>
          <a:ext cx="1190625" cy="287759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o-RO" sz="1100" b="1" baseline="0"/>
            <a:t>DEA = 30%</a:t>
          </a:r>
          <a:endParaRPr lang="en-US" sz="1100" b="1"/>
        </a:p>
      </cdr:txBody>
    </cdr:sp>
  </cdr:relSizeAnchor>
</c:userShapes>
</file>

<file path=xl/drawings/drawing6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40</xdr:row>
      <xdr:rowOff>0</xdr:rowOff>
    </xdr:from>
    <xdr:to>
      <xdr:col>7</xdr:col>
      <xdr:colOff>69850</xdr:colOff>
      <xdr:row>53</xdr:row>
      <xdr:rowOff>155575</xdr:rowOff>
    </xdr:to>
    <xdr:graphicFrame macro="">
      <xdr:nvGraphicFramePr>
        <xdr:cNvPr id="2" name="Chart 14">
          <a:extLst>
            <a:ext uri="{FF2B5EF4-FFF2-40B4-BE49-F238E27FC236}">
              <a16:creationId xmlns:a16="http://schemas.microsoft.com/office/drawing/2014/main" xmlns="" id="{00000000-0008-0000-01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40</xdr:row>
      <xdr:rowOff>0</xdr:rowOff>
    </xdr:from>
    <xdr:to>
      <xdr:col>16</xdr:col>
      <xdr:colOff>152400</xdr:colOff>
      <xdr:row>53</xdr:row>
      <xdr:rowOff>114300</xdr:rowOff>
    </xdr:to>
    <xdr:graphicFrame macro="">
      <xdr:nvGraphicFramePr>
        <xdr:cNvPr id="3" name="Chart 12">
          <a:extLst>
            <a:ext uri="{FF2B5EF4-FFF2-40B4-BE49-F238E27FC236}">
              <a16:creationId xmlns:a16="http://schemas.microsoft.com/office/drawing/2014/main" xmlns="" id="{0242432C-7DFD-45A3-B78C-955E071C83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40</xdr:row>
      <xdr:rowOff>0</xdr:rowOff>
    </xdr:from>
    <xdr:to>
      <xdr:col>24</xdr:col>
      <xdr:colOff>476249</xdr:colOff>
      <xdr:row>53</xdr:row>
      <xdr:rowOff>141287</xdr:rowOff>
    </xdr:to>
    <xdr:graphicFrame macro="">
      <xdr:nvGraphicFramePr>
        <xdr:cNvPr id="4" name="Chart 13">
          <a:extLst>
            <a:ext uri="{FF2B5EF4-FFF2-40B4-BE49-F238E27FC236}">
              <a16:creationId xmlns:a16="http://schemas.microsoft.com/office/drawing/2014/main" xmlns="" id="{00000000-0008-0000-01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0.66995</cdr:x>
      <cdr:y>0.07534</cdr:y>
    </cdr:from>
    <cdr:to>
      <cdr:x>0.91995</cdr:x>
      <cdr:y>0.18298</cdr:y>
    </cdr:to>
    <cdr:sp macro="" textlink="">
      <cdr:nvSpPr>
        <cdr:cNvPr id="2" name="TextBox 15"/>
        <cdr:cNvSpPr txBox="1"/>
      </cdr:nvSpPr>
      <cdr:spPr>
        <a:xfrm xmlns:a="http://schemas.openxmlformats.org/drawingml/2006/main">
          <a:off x="3190637" y="201407"/>
          <a:ext cx="1190625" cy="287759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o-RO" sz="1100" b="1" baseline="0"/>
            <a:t>DEA = 30%</a:t>
          </a:r>
          <a:endParaRPr lang="en-US" sz="1100" b="1"/>
        </a:p>
      </cdr:txBody>
    </cdr:sp>
  </cdr:relSizeAnchor>
</c:userShapes>
</file>

<file path=xl/drawings/drawing70.xml><?xml version="1.0" encoding="utf-8"?>
<c:userShapes xmlns:c="http://schemas.openxmlformats.org/drawingml/2006/chart">
  <cdr:relSizeAnchor xmlns:cdr="http://schemas.openxmlformats.org/drawingml/2006/chartDrawing">
    <cdr:from>
      <cdr:x>0.69822</cdr:x>
      <cdr:y>0.62897</cdr:y>
    </cdr:from>
    <cdr:to>
      <cdr:x>0.94822</cdr:x>
      <cdr:y>0.73661</cdr:y>
    </cdr:to>
    <cdr:sp macro="" textlink="">
      <cdr:nvSpPr>
        <cdr:cNvPr id="2" name="TextBox 15"/>
        <cdr:cNvSpPr txBox="1"/>
      </cdr:nvSpPr>
      <cdr:spPr>
        <a:xfrm xmlns:a="http://schemas.openxmlformats.org/drawingml/2006/main">
          <a:off x="3770853" y="1707427"/>
          <a:ext cx="1350169" cy="292202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o-RO" sz="1100" b="1" baseline="0"/>
            <a:t>DEA = 10%</a:t>
          </a:r>
          <a:endParaRPr lang="en-US" sz="1100" b="1"/>
        </a:p>
      </cdr:txBody>
    </cdr:sp>
  </cdr:relSizeAnchor>
</c:userShapes>
</file>

<file path=xl/drawings/drawing71.xml><?xml version="1.0" encoding="utf-8"?>
<c:userShapes xmlns:c="http://schemas.openxmlformats.org/drawingml/2006/chart">
  <cdr:relSizeAnchor xmlns:cdr="http://schemas.openxmlformats.org/drawingml/2006/chartDrawing">
    <cdr:from>
      <cdr:x>0.66995</cdr:x>
      <cdr:y>0.07534</cdr:y>
    </cdr:from>
    <cdr:to>
      <cdr:x>0.91995</cdr:x>
      <cdr:y>0.18298</cdr:y>
    </cdr:to>
    <cdr:sp macro="" textlink="">
      <cdr:nvSpPr>
        <cdr:cNvPr id="2" name="TextBox 15"/>
        <cdr:cNvSpPr txBox="1"/>
      </cdr:nvSpPr>
      <cdr:spPr>
        <a:xfrm xmlns:a="http://schemas.openxmlformats.org/drawingml/2006/main">
          <a:off x="3190637" y="201407"/>
          <a:ext cx="1190625" cy="287759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o-RO" sz="1100" b="1" baseline="0"/>
            <a:t>DEA = 10%</a:t>
          </a:r>
          <a:endParaRPr lang="en-US" sz="1100" b="1"/>
        </a:p>
      </cdr:txBody>
    </cdr:sp>
  </cdr:relSizeAnchor>
</c:userShapes>
</file>

<file path=xl/drawings/drawing7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333375</xdr:colOff>
      <xdr:row>39</xdr:row>
      <xdr:rowOff>161925</xdr:rowOff>
    </xdr:from>
    <xdr:to>
      <xdr:col>18</xdr:col>
      <xdr:colOff>238125</xdr:colOff>
      <xdr:row>53</xdr:row>
      <xdr:rowOff>61912</xdr:rowOff>
    </xdr:to>
    <xdr:graphicFrame macro="">
      <xdr:nvGraphicFramePr>
        <xdr:cNvPr id="2" name="Chart 13">
          <a:extLst>
            <a:ext uri="{FF2B5EF4-FFF2-40B4-BE49-F238E27FC236}">
              <a16:creationId xmlns:a16="http://schemas.microsoft.com/office/drawing/2014/main" xmlns="" id="{00000000-0008-0000-01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485775</xdr:colOff>
      <xdr:row>39</xdr:row>
      <xdr:rowOff>114300</xdr:rowOff>
    </xdr:from>
    <xdr:to>
      <xdr:col>11</xdr:col>
      <xdr:colOff>581025</xdr:colOff>
      <xdr:row>52</xdr:row>
      <xdr:rowOff>187325</xdr:rowOff>
    </xdr:to>
    <xdr:graphicFrame macro="">
      <xdr:nvGraphicFramePr>
        <xdr:cNvPr id="3" name="Chart 12">
          <a:extLst>
            <a:ext uri="{FF2B5EF4-FFF2-40B4-BE49-F238E27FC236}">
              <a16:creationId xmlns:a16="http://schemas.microsoft.com/office/drawing/2014/main" xmlns="" id="{0242432C-7DFD-45A3-B78C-955E071C83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742950</xdr:colOff>
      <xdr:row>39</xdr:row>
      <xdr:rowOff>28575</xdr:rowOff>
    </xdr:from>
    <xdr:to>
      <xdr:col>3</xdr:col>
      <xdr:colOff>600075</xdr:colOff>
      <xdr:row>52</xdr:row>
      <xdr:rowOff>142875</xdr:rowOff>
    </xdr:to>
    <xdr:graphicFrame macro="">
      <xdr:nvGraphicFramePr>
        <xdr:cNvPr id="4" name="Chart 14">
          <a:extLst>
            <a:ext uri="{FF2B5EF4-FFF2-40B4-BE49-F238E27FC236}">
              <a16:creationId xmlns:a16="http://schemas.microsoft.com/office/drawing/2014/main" xmlns="" id="{00000000-0008-0000-01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295275</xdr:colOff>
      <xdr:row>40</xdr:row>
      <xdr:rowOff>114300</xdr:rowOff>
    </xdr:from>
    <xdr:to>
      <xdr:col>15</xdr:col>
      <xdr:colOff>152400</xdr:colOff>
      <xdr:row>42</xdr:row>
      <xdr:rowOff>2010</xdr:rowOff>
    </xdr:to>
    <xdr:sp macro="" textlink="">
      <xdr:nvSpPr>
        <xdr:cNvPr id="5" name="TextBox 15"/>
        <xdr:cNvSpPr txBox="1"/>
      </xdr:nvSpPr>
      <xdr:spPr>
        <a:xfrm>
          <a:off x="12506325" y="8343900"/>
          <a:ext cx="1190625" cy="2877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ro-RO" sz="1100" b="1"/>
            <a:t>MEA</a:t>
          </a:r>
          <a:r>
            <a:rPr lang="ro-RO" sz="1100" b="1" baseline="0"/>
            <a:t> = 10%</a:t>
          </a:r>
          <a:endParaRPr lang="en-US" sz="1100" b="1"/>
        </a:p>
      </xdr:txBody>
    </xdr:sp>
    <xdr:clientData/>
  </xdr:twoCellAnchor>
</xdr:wsDr>
</file>

<file path=xl/drawings/drawing73.xml><?xml version="1.0" encoding="utf-8"?>
<c:userShapes xmlns:c="http://schemas.openxmlformats.org/drawingml/2006/chart">
  <cdr:relSizeAnchor xmlns:cdr="http://schemas.openxmlformats.org/drawingml/2006/chartDrawing">
    <cdr:from>
      <cdr:x>0.66995</cdr:x>
      <cdr:y>0.07534</cdr:y>
    </cdr:from>
    <cdr:to>
      <cdr:x>0.91995</cdr:x>
      <cdr:y>0.18298</cdr:y>
    </cdr:to>
    <cdr:sp macro="" textlink="">
      <cdr:nvSpPr>
        <cdr:cNvPr id="2" name="TextBox 15"/>
        <cdr:cNvSpPr txBox="1"/>
      </cdr:nvSpPr>
      <cdr:spPr>
        <a:xfrm xmlns:a="http://schemas.openxmlformats.org/drawingml/2006/main">
          <a:off x="3190637" y="201407"/>
          <a:ext cx="1190625" cy="287759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o-RO" sz="1100" b="1"/>
            <a:t>MEA</a:t>
          </a:r>
          <a:r>
            <a:rPr lang="ro-RO" sz="1100" b="1" baseline="0"/>
            <a:t> = 10%</a:t>
          </a:r>
          <a:endParaRPr lang="en-US" sz="1100" b="1"/>
        </a:p>
      </cdr:txBody>
    </cdr:sp>
  </cdr:relSizeAnchor>
</c:userShapes>
</file>

<file path=xl/drawings/drawing74.xml><?xml version="1.0" encoding="utf-8"?>
<c:userShapes xmlns:c="http://schemas.openxmlformats.org/drawingml/2006/chart">
  <cdr:relSizeAnchor xmlns:cdr="http://schemas.openxmlformats.org/drawingml/2006/chartDrawing">
    <cdr:from>
      <cdr:x>0.19028</cdr:x>
      <cdr:y>0.06757</cdr:y>
    </cdr:from>
    <cdr:to>
      <cdr:x>0.44028</cdr:x>
      <cdr:y>0.17521</cdr:y>
    </cdr:to>
    <cdr:sp macro="" textlink="">
      <cdr:nvSpPr>
        <cdr:cNvPr id="2" name="TextBox 15"/>
        <cdr:cNvSpPr txBox="1"/>
      </cdr:nvSpPr>
      <cdr:spPr>
        <a:xfrm xmlns:a="http://schemas.openxmlformats.org/drawingml/2006/main">
          <a:off x="1027663" y="183421"/>
          <a:ext cx="1350169" cy="292202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o-RO" sz="1100" b="1"/>
            <a:t>MEA</a:t>
          </a:r>
          <a:r>
            <a:rPr lang="ro-RO" sz="1100" b="1" baseline="0"/>
            <a:t> = 10%</a:t>
          </a:r>
          <a:endParaRPr lang="en-US" sz="1100" b="1"/>
        </a:p>
      </cdr:txBody>
    </cdr:sp>
  </cdr:relSizeAnchor>
</c:userShapes>
</file>

<file path=xl/drawings/drawing7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41</xdr:row>
      <xdr:rowOff>0</xdr:rowOff>
    </xdr:from>
    <xdr:to>
      <xdr:col>1</xdr:col>
      <xdr:colOff>1103993</xdr:colOff>
      <xdr:row>55</xdr:row>
      <xdr:rowOff>12700</xdr:rowOff>
    </xdr:to>
    <xdr:graphicFrame macro="">
      <xdr:nvGraphicFramePr>
        <xdr:cNvPr id="2" name="Chart 14">
          <a:extLst>
            <a:ext uri="{FF2B5EF4-FFF2-40B4-BE49-F238E27FC236}">
              <a16:creationId xmlns:a16="http://schemas.microsoft.com/office/drawing/2014/main" xmlns="" id="{00000000-0008-0000-01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41</xdr:row>
      <xdr:rowOff>0</xdr:rowOff>
    </xdr:from>
    <xdr:to>
      <xdr:col>8</xdr:col>
      <xdr:colOff>82550</xdr:colOff>
      <xdr:row>54</xdr:row>
      <xdr:rowOff>167368</xdr:rowOff>
    </xdr:to>
    <xdr:graphicFrame macro="">
      <xdr:nvGraphicFramePr>
        <xdr:cNvPr id="3" name="Chart 12">
          <a:extLst>
            <a:ext uri="{FF2B5EF4-FFF2-40B4-BE49-F238E27FC236}">
              <a16:creationId xmlns:a16="http://schemas.microsoft.com/office/drawing/2014/main" xmlns="" id="{0242432C-7DFD-45A3-B78C-955E071C83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41</xdr:row>
      <xdr:rowOff>0</xdr:rowOff>
    </xdr:from>
    <xdr:to>
      <xdr:col>13</xdr:col>
      <xdr:colOff>560615</xdr:colOff>
      <xdr:row>54</xdr:row>
      <xdr:rowOff>194355</xdr:rowOff>
    </xdr:to>
    <xdr:graphicFrame macro="">
      <xdr:nvGraphicFramePr>
        <xdr:cNvPr id="4" name="Chart 13">
          <a:extLst>
            <a:ext uri="{FF2B5EF4-FFF2-40B4-BE49-F238E27FC236}">
              <a16:creationId xmlns:a16="http://schemas.microsoft.com/office/drawing/2014/main" xmlns="" id="{00000000-0008-0000-01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6.xml><?xml version="1.0" encoding="utf-8"?>
<c:userShapes xmlns:c="http://schemas.openxmlformats.org/drawingml/2006/chart">
  <cdr:relSizeAnchor xmlns:cdr="http://schemas.openxmlformats.org/drawingml/2006/chartDrawing">
    <cdr:from>
      <cdr:x>0.69822</cdr:x>
      <cdr:y>0.62897</cdr:y>
    </cdr:from>
    <cdr:to>
      <cdr:x>0.94822</cdr:x>
      <cdr:y>0.73661</cdr:y>
    </cdr:to>
    <cdr:sp macro="" textlink="">
      <cdr:nvSpPr>
        <cdr:cNvPr id="2" name="TextBox 15"/>
        <cdr:cNvSpPr txBox="1"/>
      </cdr:nvSpPr>
      <cdr:spPr>
        <a:xfrm xmlns:a="http://schemas.openxmlformats.org/drawingml/2006/main">
          <a:off x="3770853" y="1707427"/>
          <a:ext cx="1350169" cy="292202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o-RO" sz="1100" b="1" baseline="0"/>
            <a:t>DEA = 10%</a:t>
          </a:r>
          <a:endParaRPr lang="en-US" sz="1100" b="1"/>
        </a:p>
      </cdr:txBody>
    </cdr:sp>
  </cdr:relSizeAnchor>
</c:userShapes>
</file>

<file path=xl/drawings/drawing77.xml><?xml version="1.0" encoding="utf-8"?>
<c:userShapes xmlns:c="http://schemas.openxmlformats.org/drawingml/2006/chart">
  <cdr:relSizeAnchor xmlns:cdr="http://schemas.openxmlformats.org/drawingml/2006/chartDrawing">
    <cdr:from>
      <cdr:x>0.66995</cdr:x>
      <cdr:y>0.07534</cdr:y>
    </cdr:from>
    <cdr:to>
      <cdr:x>0.91995</cdr:x>
      <cdr:y>0.18298</cdr:y>
    </cdr:to>
    <cdr:sp macro="" textlink="">
      <cdr:nvSpPr>
        <cdr:cNvPr id="2" name="TextBox 15"/>
        <cdr:cNvSpPr txBox="1"/>
      </cdr:nvSpPr>
      <cdr:spPr>
        <a:xfrm xmlns:a="http://schemas.openxmlformats.org/drawingml/2006/main">
          <a:off x="3190637" y="201407"/>
          <a:ext cx="1190625" cy="287759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o-RO" sz="1100" b="1" baseline="0"/>
            <a:t>DEA = 10%</a:t>
          </a:r>
          <a:endParaRPr lang="en-US" sz="1100" b="1"/>
        </a:p>
      </cdr:txBody>
    </cdr:sp>
  </cdr:relSizeAnchor>
</c:userShapes>
</file>

<file path=xl/drawings/drawing7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39</xdr:row>
      <xdr:rowOff>0</xdr:rowOff>
    </xdr:from>
    <xdr:to>
      <xdr:col>11</xdr:col>
      <xdr:colOff>69850</xdr:colOff>
      <xdr:row>52</xdr:row>
      <xdr:rowOff>155575</xdr:rowOff>
    </xdr:to>
    <xdr:graphicFrame macro="">
      <xdr:nvGraphicFramePr>
        <xdr:cNvPr id="2" name="Chart 14">
          <a:extLst>
            <a:ext uri="{FF2B5EF4-FFF2-40B4-BE49-F238E27FC236}">
              <a16:creationId xmlns:a16="http://schemas.microsoft.com/office/drawing/2014/main" xmlns="" id="{00000000-0008-0000-01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39</xdr:row>
      <xdr:rowOff>0</xdr:rowOff>
    </xdr:from>
    <xdr:to>
      <xdr:col>20</xdr:col>
      <xdr:colOff>152400</xdr:colOff>
      <xdr:row>52</xdr:row>
      <xdr:rowOff>114300</xdr:rowOff>
    </xdr:to>
    <xdr:graphicFrame macro="">
      <xdr:nvGraphicFramePr>
        <xdr:cNvPr id="3" name="Chart 12">
          <a:extLst>
            <a:ext uri="{FF2B5EF4-FFF2-40B4-BE49-F238E27FC236}">
              <a16:creationId xmlns:a16="http://schemas.microsoft.com/office/drawing/2014/main" xmlns="" id="{0242432C-7DFD-45A3-B78C-955E071C83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39</xdr:row>
      <xdr:rowOff>0</xdr:rowOff>
    </xdr:from>
    <xdr:to>
      <xdr:col>28</xdr:col>
      <xdr:colOff>476249</xdr:colOff>
      <xdr:row>52</xdr:row>
      <xdr:rowOff>141287</xdr:rowOff>
    </xdr:to>
    <xdr:graphicFrame macro="">
      <xdr:nvGraphicFramePr>
        <xdr:cNvPr id="4" name="Chart 13">
          <a:extLst>
            <a:ext uri="{FF2B5EF4-FFF2-40B4-BE49-F238E27FC236}">
              <a16:creationId xmlns:a16="http://schemas.microsoft.com/office/drawing/2014/main" xmlns="" id="{00000000-0008-0000-01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9.xml><?xml version="1.0" encoding="utf-8"?>
<c:userShapes xmlns:c="http://schemas.openxmlformats.org/drawingml/2006/chart">
  <cdr:relSizeAnchor xmlns:cdr="http://schemas.openxmlformats.org/drawingml/2006/chartDrawing">
    <cdr:from>
      <cdr:x>0.69822</cdr:x>
      <cdr:y>0.62897</cdr:y>
    </cdr:from>
    <cdr:to>
      <cdr:x>0.94822</cdr:x>
      <cdr:y>0.73661</cdr:y>
    </cdr:to>
    <cdr:sp macro="" textlink="">
      <cdr:nvSpPr>
        <cdr:cNvPr id="2" name="TextBox 15"/>
        <cdr:cNvSpPr txBox="1"/>
      </cdr:nvSpPr>
      <cdr:spPr>
        <a:xfrm xmlns:a="http://schemas.openxmlformats.org/drawingml/2006/main">
          <a:off x="3770853" y="1707427"/>
          <a:ext cx="1350169" cy="292202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o-RO" sz="1100" b="1" baseline="0"/>
            <a:t>DEA = 10%</a:t>
          </a:r>
          <a:endParaRPr lang="en-US" sz="1100" b="1"/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0.21321</cdr:x>
      <cdr:y>0.09564</cdr:y>
    </cdr:from>
    <cdr:to>
      <cdr:x>0.46321</cdr:x>
      <cdr:y>0.20328</cdr:y>
    </cdr:to>
    <cdr:sp macro="" textlink="">
      <cdr:nvSpPr>
        <cdr:cNvPr id="2" name="TextBox 15"/>
        <cdr:cNvSpPr txBox="1"/>
      </cdr:nvSpPr>
      <cdr:spPr>
        <a:xfrm xmlns:a="http://schemas.openxmlformats.org/drawingml/2006/main">
          <a:off x="1151465" y="259627"/>
          <a:ext cx="1350169" cy="292202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o-RO" sz="1100" b="1" baseline="0"/>
            <a:t>DEA = 30%</a:t>
          </a:r>
          <a:endParaRPr lang="en-US" sz="1100" b="1"/>
        </a:p>
      </cdr:txBody>
    </cdr:sp>
  </cdr:relSizeAnchor>
</c:userShapes>
</file>

<file path=xl/drawings/drawing80.xml><?xml version="1.0" encoding="utf-8"?>
<c:userShapes xmlns:c="http://schemas.openxmlformats.org/drawingml/2006/chart">
  <cdr:relSizeAnchor xmlns:cdr="http://schemas.openxmlformats.org/drawingml/2006/chartDrawing">
    <cdr:from>
      <cdr:x>0.66995</cdr:x>
      <cdr:y>0.07534</cdr:y>
    </cdr:from>
    <cdr:to>
      <cdr:x>0.91995</cdr:x>
      <cdr:y>0.18298</cdr:y>
    </cdr:to>
    <cdr:sp macro="" textlink="">
      <cdr:nvSpPr>
        <cdr:cNvPr id="2" name="TextBox 15"/>
        <cdr:cNvSpPr txBox="1"/>
      </cdr:nvSpPr>
      <cdr:spPr>
        <a:xfrm xmlns:a="http://schemas.openxmlformats.org/drawingml/2006/main">
          <a:off x="3190637" y="201407"/>
          <a:ext cx="1190625" cy="287759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o-RO" sz="1100" b="1" baseline="0"/>
            <a:t>DEA = 10%</a:t>
          </a:r>
          <a:endParaRPr lang="en-US" sz="1100" b="1"/>
        </a:p>
      </cdr:txBody>
    </cdr:sp>
  </cdr:relSizeAnchor>
</c:userShapes>
</file>

<file path=xl/drawings/drawing8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43</xdr:row>
      <xdr:rowOff>0</xdr:rowOff>
    </xdr:from>
    <xdr:to>
      <xdr:col>7</xdr:col>
      <xdr:colOff>431800</xdr:colOff>
      <xdr:row>56</xdr:row>
      <xdr:rowOff>155575</xdr:rowOff>
    </xdr:to>
    <xdr:graphicFrame macro="">
      <xdr:nvGraphicFramePr>
        <xdr:cNvPr id="2" name="Chart 14">
          <a:extLst>
            <a:ext uri="{FF2B5EF4-FFF2-40B4-BE49-F238E27FC236}">
              <a16:creationId xmlns:a16="http://schemas.microsoft.com/office/drawing/2014/main" xmlns="" id="{00000000-0008-0000-01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43</xdr:row>
      <xdr:rowOff>0</xdr:rowOff>
    </xdr:from>
    <xdr:to>
      <xdr:col>16</xdr:col>
      <xdr:colOff>152400</xdr:colOff>
      <xdr:row>56</xdr:row>
      <xdr:rowOff>114300</xdr:rowOff>
    </xdr:to>
    <xdr:graphicFrame macro="">
      <xdr:nvGraphicFramePr>
        <xdr:cNvPr id="3" name="Chart 12">
          <a:extLst>
            <a:ext uri="{FF2B5EF4-FFF2-40B4-BE49-F238E27FC236}">
              <a16:creationId xmlns:a16="http://schemas.microsoft.com/office/drawing/2014/main" xmlns="" id="{0242432C-7DFD-45A3-B78C-955E071C83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43</xdr:row>
      <xdr:rowOff>0</xdr:rowOff>
    </xdr:from>
    <xdr:to>
      <xdr:col>24</xdr:col>
      <xdr:colOff>476249</xdr:colOff>
      <xdr:row>56</xdr:row>
      <xdr:rowOff>141287</xdr:rowOff>
    </xdr:to>
    <xdr:graphicFrame macro="">
      <xdr:nvGraphicFramePr>
        <xdr:cNvPr id="4" name="Chart 13">
          <a:extLst>
            <a:ext uri="{FF2B5EF4-FFF2-40B4-BE49-F238E27FC236}">
              <a16:creationId xmlns:a16="http://schemas.microsoft.com/office/drawing/2014/main" xmlns="" id="{00000000-0008-0000-01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2.xml><?xml version="1.0" encoding="utf-8"?>
<c:userShapes xmlns:c="http://schemas.openxmlformats.org/drawingml/2006/chart">
  <cdr:relSizeAnchor xmlns:cdr="http://schemas.openxmlformats.org/drawingml/2006/chartDrawing">
    <cdr:from>
      <cdr:x>0.69822</cdr:x>
      <cdr:y>0.62897</cdr:y>
    </cdr:from>
    <cdr:to>
      <cdr:x>0.94822</cdr:x>
      <cdr:y>0.73661</cdr:y>
    </cdr:to>
    <cdr:sp macro="" textlink="">
      <cdr:nvSpPr>
        <cdr:cNvPr id="2" name="TextBox 15"/>
        <cdr:cNvSpPr txBox="1"/>
      </cdr:nvSpPr>
      <cdr:spPr>
        <a:xfrm xmlns:a="http://schemas.openxmlformats.org/drawingml/2006/main">
          <a:off x="3770853" y="1707427"/>
          <a:ext cx="1350169" cy="292202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o-RO" sz="1100" b="1" baseline="0"/>
            <a:t>DEA = 10%</a:t>
          </a:r>
          <a:endParaRPr lang="en-US" sz="1100" b="1"/>
        </a:p>
      </cdr:txBody>
    </cdr:sp>
  </cdr:relSizeAnchor>
</c:userShapes>
</file>

<file path=xl/drawings/drawing83.xml><?xml version="1.0" encoding="utf-8"?>
<c:userShapes xmlns:c="http://schemas.openxmlformats.org/drawingml/2006/chart">
  <cdr:relSizeAnchor xmlns:cdr="http://schemas.openxmlformats.org/drawingml/2006/chartDrawing">
    <cdr:from>
      <cdr:x>0.66995</cdr:x>
      <cdr:y>0.07534</cdr:y>
    </cdr:from>
    <cdr:to>
      <cdr:x>0.91995</cdr:x>
      <cdr:y>0.18298</cdr:y>
    </cdr:to>
    <cdr:sp macro="" textlink="">
      <cdr:nvSpPr>
        <cdr:cNvPr id="2" name="TextBox 15"/>
        <cdr:cNvSpPr txBox="1"/>
      </cdr:nvSpPr>
      <cdr:spPr>
        <a:xfrm xmlns:a="http://schemas.openxmlformats.org/drawingml/2006/main">
          <a:off x="3190637" y="201407"/>
          <a:ext cx="1190625" cy="287759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o-RO" sz="1100" b="1" baseline="0"/>
            <a:t>DEA = 10%</a:t>
          </a:r>
          <a:endParaRPr lang="en-US" sz="1100" b="1"/>
        </a:p>
      </cdr:txBody>
    </cdr:sp>
  </cdr:relSizeAnchor>
</c:userShapes>
</file>

<file path=xl/drawings/drawing8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43</xdr:row>
      <xdr:rowOff>0</xdr:rowOff>
    </xdr:from>
    <xdr:to>
      <xdr:col>7</xdr:col>
      <xdr:colOff>222250</xdr:colOff>
      <xdr:row>56</xdr:row>
      <xdr:rowOff>155575</xdr:rowOff>
    </xdr:to>
    <xdr:graphicFrame macro="">
      <xdr:nvGraphicFramePr>
        <xdr:cNvPr id="2" name="Chart 14">
          <a:extLst>
            <a:ext uri="{FF2B5EF4-FFF2-40B4-BE49-F238E27FC236}">
              <a16:creationId xmlns:a16="http://schemas.microsoft.com/office/drawing/2014/main" xmlns="" id="{00000000-0008-0000-01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43</xdr:row>
      <xdr:rowOff>0</xdr:rowOff>
    </xdr:from>
    <xdr:to>
      <xdr:col>16</xdr:col>
      <xdr:colOff>152400</xdr:colOff>
      <xdr:row>56</xdr:row>
      <xdr:rowOff>114300</xdr:rowOff>
    </xdr:to>
    <xdr:graphicFrame macro="">
      <xdr:nvGraphicFramePr>
        <xdr:cNvPr id="3" name="Chart 12">
          <a:extLst>
            <a:ext uri="{FF2B5EF4-FFF2-40B4-BE49-F238E27FC236}">
              <a16:creationId xmlns:a16="http://schemas.microsoft.com/office/drawing/2014/main" xmlns="" id="{0242432C-7DFD-45A3-B78C-955E071C83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43</xdr:row>
      <xdr:rowOff>0</xdr:rowOff>
    </xdr:from>
    <xdr:to>
      <xdr:col>24</xdr:col>
      <xdr:colOff>476249</xdr:colOff>
      <xdr:row>56</xdr:row>
      <xdr:rowOff>141287</xdr:rowOff>
    </xdr:to>
    <xdr:graphicFrame macro="">
      <xdr:nvGraphicFramePr>
        <xdr:cNvPr id="4" name="Chart 13">
          <a:extLst>
            <a:ext uri="{FF2B5EF4-FFF2-40B4-BE49-F238E27FC236}">
              <a16:creationId xmlns:a16="http://schemas.microsoft.com/office/drawing/2014/main" xmlns="" id="{00000000-0008-0000-01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5.xml><?xml version="1.0" encoding="utf-8"?>
<c:userShapes xmlns:c="http://schemas.openxmlformats.org/drawingml/2006/chart">
  <cdr:relSizeAnchor xmlns:cdr="http://schemas.openxmlformats.org/drawingml/2006/chartDrawing">
    <cdr:from>
      <cdr:x>0.69822</cdr:x>
      <cdr:y>0.62897</cdr:y>
    </cdr:from>
    <cdr:to>
      <cdr:x>0.94822</cdr:x>
      <cdr:y>0.73661</cdr:y>
    </cdr:to>
    <cdr:sp macro="" textlink="">
      <cdr:nvSpPr>
        <cdr:cNvPr id="2" name="TextBox 15"/>
        <cdr:cNvSpPr txBox="1"/>
      </cdr:nvSpPr>
      <cdr:spPr>
        <a:xfrm xmlns:a="http://schemas.openxmlformats.org/drawingml/2006/main">
          <a:off x="3770853" y="1707427"/>
          <a:ext cx="1350169" cy="292202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o-RO" sz="1100" b="1" baseline="0"/>
            <a:t>DEA = 10%</a:t>
          </a:r>
          <a:endParaRPr lang="en-US" sz="1100" b="1"/>
        </a:p>
      </cdr:txBody>
    </cdr:sp>
  </cdr:relSizeAnchor>
</c:userShapes>
</file>

<file path=xl/drawings/drawing86.xml><?xml version="1.0" encoding="utf-8"?>
<c:userShapes xmlns:c="http://schemas.openxmlformats.org/drawingml/2006/chart">
  <cdr:relSizeAnchor xmlns:cdr="http://schemas.openxmlformats.org/drawingml/2006/chartDrawing">
    <cdr:from>
      <cdr:x>0.66995</cdr:x>
      <cdr:y>0.07534</cdr:y>
    </cdr:from>
    <cdr:to>
      <cdr:x>0.91995</cdr:x>
      <cdr:y>0.18298</cdr:y>
    </cdr:to>
    <cdr:sp macro="" textlink="">
      <cdr:nvSpPr>
        <cdr:cNvPr id="2" name="TextBox 15"/>
        <cdr:cNvSpPr txBox="1"/>
      </cdr:nvSpPr>
      <cdr:spPr>
        <a:xfrm xmlns:a="http://schemas.openxmlformats.org/drawingml/2006/main">
          <a:off x="3190637" y="201407"/>
          <a:ext cx="1190625" cy="287759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o-RO" sz="1100" b="1" baseline="0"/>
            <a:t>DEA = 10%</a:t>
          </a:r>
          <a:endParaRPr lang="en-US" sz="1100" b="1"/>
        </a:p>
      </cdr:txBody>
    </cdr:sp>
  </cdr:relSizeAnchor>
</c:userShapes>
</file>

<file path=xl/drawings/drawing8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0</xdr:rowOff>
    </xdr:from>
    <xdr:to>
      <xdr:col>7</xdr:col>
      <xdr:colOff>298450</xdr:colOff>
      <xdr:row>55</xdr:row>
      <xdr:rowOff>155575</xdr:rowOff>
    </xdr:to>
    <xdr:graphicFrame macro="">
      <xdr:nvGraphicFramePr>
        <xdr:cNvPr id="2" name="Chart 14">
          <a:extLst>
            <a:ext uri="{FF2B5EF4-FFF2-40B4-BE49-F238E27FC236}">
              <a16:creationId xmlns:a16="http://schemas.microsoft.com/office/drawing/2014/main" xmlns="" id="{00000000-0008-0000-01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0</xdr:colOff>
      <xdr:row>42</xdr:row>
      <xdr:rowOff>0</xdr:rowOff>
    </xdr:from>
    <xdr:to>
      <xdr:col>24</xdr:col>
      <xdr:colOff>476249</xdr:colOff>
      <xdr:row>55</xdr:row>
      <xdr:rowOff>141287</xdr:rowOff>
    </xdr:to>
    <xdr:graphicFrame macro="">
      <xdr:nvGraphicFramePr>
        <xdr:cNvPr id="4" name="Chart 13">
          <a:extLst>
            <a:ext uri="{FF2B5EF4-FFF2-40B4-BE49-F238E27FC236}">
              <a16:creationId xmlns:a16="http://schemas.microsoft.com/office/drawing/2014/main" xmlns="" id="{00000000-0008-0000-01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42</xdr:row>
      <xdr:rowOff>0</xdr:rowOff>
    </xdr:from>
    <xdr:to>
      <xdr:col>16</xdr:col>
      <xdr:colOff>152400</xdr:colOff>
      <xdr:row>55</xdr:row>
      <xdr:rowOff>114300</xdr:rowOff>
    </xdr:to>
    <xdr:graphicFrame macro="">
      <xdr:nvGraphicFramePr>
        <xdr:cNvPr id="5" name="Chart 12">
          <a:extLst>
            <a:ext uri="{FF2B5EF4-FFF2-40B4-BE49-F238E27FC236}">
              <a16:creationId xmlns:a16="http://schemas.microsoft.com/office/drawing/2014/main" xmlns="" id="{0242432C-7DFD-45A3-B78C-955E071C83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8.xml><?xml version="1.0" encoding="utf-8"?>
<c:userShapes xmlns:c="http://schemas.openxmlformats.org/drawingml/2006/chart">
  <cdr:relSizeAnchor xmlns:cdr="http://schemas.openxmlformats.org/drawingml/2006/chartDrawing">
    <cdr:from>
      <cdr:x>0.69822</cdr:x>
      <cdr:y>0.62897</cdr:y>
    </cdr:from>
    <cdr:to>
      <cdr:x>0.94822</cdr:x>
      <cdr:y>0.73661</cdr:y>
    </cdr:to>
    <cdr:sp macro="" textlink="">
      <cdr:nvSpPr>
        <cdr:cNvPr id="2" name="TextBox 15"/>
        <cdr:cNvSpPr txBox="1"/>
      </cdr:nvSpPr>
      <cdr:spPr>
        <a:xfrm xmlns:a="http://schemas.openxmlformats.org/drawingml/2006/main">
          <a:off x="3770853" y="1707427"/>
          <a:ext cx="1350169" cy="292202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o-RO" sz="1100" b="1" baseline="0"/>
            <a:t>DEA = 10%</a:t>
          </a:r>
          <a:endParaRPr lang="en-US" sz="1100" b="1"/>
        </a:p>
      </cdr:txBody>
    </cdr:sp>
  </cdr:relSizeAnchor>
</c:userShapes>
</file>

<file path=xl/drawings/drawing89.xml><?xml version="1.0" encoding="utf-8"?>
<c:userShapes xmlns:c="http://schemas.openxmlformats.org/drawingml/2006/chart">
  <cdr:relSizeAnchor xmlns:cdr="http://schemas.openxmlformats.org/drawingml/2006/chartDrawing">
    <cdr:from>
      <cdr:x>0.66995</cdr:x>
      <cdr:y>0.07534</cdr:y>
    </cdr:from>
    <cdr:to>
      <cdr:x>0.91995</cdr:x>
      <cdr:y>0.18298</cdr:y>
    </cdr:to>
    <cdr:sp macro="" textlink="">
      <cdr:nvSpPr>
        <cdr:cNvPr id="2" name="TextBox 15"/>
        <cdr:cNvSpPr txBox="1"/>
      </cdr:nvSpPr>
      <cdr:spPr>
        <a:xfrm xmlns:a="http://schemas.openxmlformats.org/drawingml/2006/main">
          <a:off x="3190637" y="201407"/>
          <a:ext cx="1190625" cy="287759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o-RO" sz="1100" b="1" baseline="0"/>
            <a:t>DEA = 10%</a:t>
          </a:r>
          <a:endParaRPr lang="en-US" sz="1100" b="1"/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0.14877</cdr:x>
      <cdr:y>0.08454</cdr:y>
    </cdr:from>
    <cdr:to>
      <cdr:x>0.38302</cdr:x>
      <cdr:y>0.19112</cdr:y>
    </cdr:to>
    <cdr:sp macro="" textlink="">
      <cdr:nvSpPr>
        <cdr:cNvPr id="2" name="TextBox 15"/>
        <cdr:cNvSpPr txBox="1"/>
      </cdr:nvSpPr>
      <cdr:spPr>
        <a:xfrm xmlns:a="http://schemas.openxmlformats.org/drawingml/2006/main">
          <a:off x="765175" y="231775"/>
          <a:ext cx="1204912" cy="292202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o-RO" sz="1100" b="1" baseline="0"/>
            <a:t>MDEA = 30%</a:t>
          </a:r>
          <a:endParaRPr lang="en-US" sz="1100" b="1"/>
        </a:p>
      </cdr:txBody>
    </cdr:sp>
  </cdr:relSizeAnchor>
</c:userShapes>
</file>

<file path=xl/drawings/drawing9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0</xdr:rowOff>
    </xdr:from>
    <xdr:to>
      <xdr:col>6</xdr:col>
      <xdr:colOff>355600</xdr:colOff>
      <xdr:row>55</xdr:row>
      <xdr:rowOff>155575</xdr:rowOff>
    </xdr:to>
    <xdr:graphicFrame macro="">
      <xdr:nvGraphicFramePr>
        <xdr:cNvPr id="2" name="Chart 14">
          <a:extLst>
            <a:ext uri="{FF2B5EF4-FFF2-40B4-BE49-F238E27FC236}">
              <a16:creationId xmlns:a16="http://schemas.microsoft.com/office/drawing/2014/main" xmlns="" id="{00000000-0008-0000-01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42</xdr:row>
      <xdr:rowOff>0</xdr:rowOff>
    </xdr:from>
    <xdr:to>
      <xdr:col>15</xdr:col>
      <xdr:colOff>152400</xdr:colOff>
      <xdr:row>55</xdr:row>
      <xdr:rowOff>114300</xdr:rowOff>
    </xdr:to>
    <xdr:graphicFrame macro="">
      <xdr:nvGraphicFramePr>
        <xdr:cNvPr id="3" name="Chart 12">
          <a:extLst>
            <a:ext uri="{FF2B5EF4-FFF2-40B4-BE49-F238E27FC236}">
              <a16:creationId xmlns:a16="http://schemas.microsoft.com/office/drawing/2014/main" xmlns="" id="{0242432C-7DFD-45A3-B78C-955E071C83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42</xdr:row>
      <xdr:rowOff>0</xdr:rowOff>
    </xdr:from>
    <xdr:to>
      <xdr:col>23</xdr:col>
      <xdr:colOff>476249</xdr:colOff>
      <xdr:row>55</xdr:row>
      <xdr:rowOff>141287</xdr:rowOff>
    </xdr:to>
    <xdr:graphicFrame macro="">
      <xdr:nvGraphicFramePr>
        <xdr:cNvPr id="4" name="Chart 13">
          <a:extLst>
            <a:ext uri="{FF2B5EF4-FFF2-40B4-BE49-F238E27FC236}">
              <a16:creationId xmlns:a16="http://schemas.microsoft.com/office/drawing/2014/main" xmlns="" id="{00000000-0008-0000-01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1.xml><?xml version="1.0" encoding="utf-8"?>
<c:userShapes xmlns:c="http://schemas.openxmlformats.org/drawingml/2006/chart">
  <cdr:relSizeAnchor xmlns:cdr="http://schemas.openxmlformats.org/drawingml/2006/chartDrawing">
    <cdr:from>
      <cdr:x>0.69822</cdr:x>
      <cdr:y>0.62897</cdr:y>
    </cdr:from>
    <cdr:to>
      <cdr:x>0.94822</cdr:x>
      <cdr:y>0.73661</cdr:y>
    </cdr:to>
    <cdr:sp macro="" textlink="">
      <cdr:nvSpPr>
        <cdr:cNvPr id="2" name="TextBox 15"/>
        <cdr:cNvSpPr txBox="1"/>
      </cdr:nvSpPr>
      <cdr:spPr>
        <a:xfrm xmlns:a="http://schemas.openxmlformats.org/drawingml/2006/main">
          <a:off x="3770853" y="1707427"/>
          <a:ext cx="1350169" cy="292202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o-RO" sz="1100" b="1" baseline="0"/>
            <a:t>DEA = 10%</a:t>
          </a:r>
          <a:endParaRPr lang="en-US" sz="1100" b="1"/>
        </a:p>
      </cdr:txBody>
    </cdr:sp>
  </cdr:relSizeAnchor>
</c:userShapes>
</file>

<file path=xl/drawings/drawing92.xml><?xml version="1.0" encoding="utf-8"?>
<c:userShapes xmlns:c="http://schemas.openxmlformats.org/drawingml/2006/chart">
  <cdr:relSizeAnchor xmlns:cdr="http://schemas.openxmlformats.org/drawingml/2006/chartDrawing">
    <cdr:from>
      <cdr:x>0.66995</cdr:x>
      <cdr:y>0.07534</cdr:y>
    </cdr:from>
    <cdr:to>
      <cdr:x>0.91995</cdr:x>
      <cdr:y>0.18298</cdr:y>
    </cdr:to>
    <cdr:sp macro="" textlink="">
      <cdr:nvSpPr>
        <cdr:cNvPr id="2" name="TextBox 15"/>
        <cdr:cNvSpPr txBox="1"/>
      </cdr:nvSpPr>
      <cdr:spPr>
        <a:xfrm xmlns:a="http://schemas.openxmlformats.org/drawingml/2006/main">
          <a:off x="3190637" y="201407"/>
          <a:ext cx="1190625" cy="287759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o-RO" sz="1100" b="1" baseline="0"/>
            <a:t>DEA = 10%</a:t>
          </a:r>
          <a:endParaRPr lang="en-US" sz="1100" b="1"/>
        </a:p>
      </cdr:txBody>
    </cdr:sp>
  </cdr:relSizeAnchor>
</c:userShapes>
</file>

<file path=xl/drawings/drawing9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0</xdr:rowOff>
    </xdr:from>
    <xdr:to>
      <xdr:col>7</xdr:col>
      <xdr:colOff>79375</xdr:colOff>
      <xdr:row>54</xdr:row>
      <xdr:rowOff>155575</xdr:rowOff>
    </xdr:to>
    <xdr:graphicFrame macro="">
      <xdr:nvGraphicFramePr>
        <xdr:cNvPr id="2" name="Chart 14">
          <a:extLst>
            <a:ext uri="{FF2B5EF4-FFF2-40B4-BE49-F238E27FC236}">
              <a16:creationId xmlns:a16="http://schemas.microsoft.com/office/drawing/2014/main" xmlns="" id="{00000000-0008-0000-01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41</xdr:row>
      <xdr:rowOff>0</xdr:rowOff>
    </xdr:from>
    <xdr:to>
      <xdr:col>16</xdr:col>
      <xdr:colOff>152400</xdr:colOff>
      <xdr:row>54</xdr:row>
      <xdr:rowOff>114300</xdr:rowOff>
    </xdr:to>
    <xdr:graphicFrame macro="">
      <xdr:nvGraphicFramePr>
        <xdr:cNvPr id="3" name="Chart 12">
          <a:extLst>
            <a:ext uri="{FF2B5EF4-FFF2-40B4-BE49-F238E27FC236}">
              <a16:creationId xmlns:a16="http://schemas.microsoft.com/office/drawing/2014/main" xmlns="" id="{0242432C-7DFD-45A3-B78C-955E071C83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41</xdr:row>
      <xdr:rowOff>0</xdr:rowOff>
    </xdr:from>
    <xdr:to>
      <xdr:col>24</xdr:col>
      <xdr:colOff>476249</xdr:colOff>
      <xdr:row>54</xdr:row>
      <xdr:rowOff>141287</xdr:rowOff>
    </xdr:to>
    <xdr:graphicFrame macro="">
      <xdr:nvGraphicFramePr>
        <xdr:cNvPr id="4" name="Chart 13">
          <a:extLst>
            <a:ext uri="{FF2B5EF4-FFF2-40B4-BE49-F238E27FC236}">
              <a16:creationId xmlns:a16="http://schemas.microsoft.com/office/drawing/2014/main" xmlns="" id="{00000000-0008-0000-01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4.xml><?xml version="1.0" encoding="utf-8"?>
<c:userShapes xmlns:c="http://schemas.openxmlformats.org/drawingml/2006/chart">
  <cdr:relSizeAnchor xmlns:cdr="http://schemas.openxmlformats.org/drawingml/2006/chartDrawing">
    <cdr:from>
      <cdr:x>0.69822</cdr:x>
      <cdr:y>0.62897</cdr:y>
    </cdr:from>
    <cdr:to>
      <cdr:x>0.94822</cdr:x>
      <cdr:y>0.73661</cdr:y>
    </cdr:to>
    <cdr:sp macro="" textlink="">
      <cdr:nvSpPr>
        <cdr:cNvPr id="2" name="TextBox 15"/>
        <cdr:cNvSpPr txBox="1"/>
      </cdr:nvSpPr>
      <cdr:spPr>
        <a:xfrm xmlns:a="http://schemas.openxmlformats.org/drawingml/2006/main">
          <a:off x="3770853" y="1707427"/>
          <a:ext cx="1350169" cy="292202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o-RO" sz="1100" b="1" baseline="0"/>
            <a:t>DEA = 10%</a:t>
          </a:r>
          <a:endParaRPr lang="en-US" sz="1100" b="1"/>
        </a:p>
      </cdr:txBody>
    </cdr:sp>
  </cdr:relSizeAnchor>
</c:userShapes>
</file>

<file path=xl/drawings/drawing95.xml><?xml version="1.0" encoding="utf-8"?>
<c:userShapes xmlns:c="http://schemas.openxmlformats.org/drawingml/2006/chart">
  <cdr:relSizeAnchor xmlns:cdr="http://schemas.openxmlformats.org/drawingml/2006/chartDrawing">
    <cdr:from>
      <cdr:x>0.66995</cdr:x>
      <cdr:y>0.07534</cdr:y>
    </cdr:from>
    <cdr:to>
      <cdr:x>0.91995</cdr:x>
      <cdr:y>0.18298</cdr:y>
    </cdr:to>
    <cdr:sp macro="" textlink="">
      <cdr:nvSpPr>
        <cdr:cNvPr id="2" name="TextBox 15"/>
        <cdr:cNvSpPr txBox="1"/>
      </cdr:nvSpPr>
      <cdr:spPr>
        <a:xfrm xmlns:a="http://schemas.openxmlformats.org/drawingml/2006/main">
          <a:off x="3190637" y="201407"/>
          <a:ext cx="1190625" cy="287759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o-RO" sz="1100" b="1" baseline="0"/>
            <a:t>DEA = 10%</a:t>
          </a:r>
          <a:endParaRPr lang="en-US" sz="1100" b="1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5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8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1.xml"/><Relationship Id="rId1" Type="http://schemas.openxmlformats.org/officeDocument/2006/relationships/printerSettings" Target="../printerSettings/printerSettings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4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3.xml"/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0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3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6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9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0"/>
  <sheetViews>
    <sheetView zoomScale="80" zoomScaleNormal="80" workbookViewId="0">
      <selection activeCell="G32" sqref="G32"/>
    </sheetView>
  </sheetViews>
  <sheetFormatPr defaultRowHeight="15.6" x14ac:dyDescent="0.3"/>
  <sheetData>
    <row r="2" spans="2:4" s="13" customFormat="1" ht="46.5" customHeight="1" x14ac:dyDescent="0.3">
      <c r="B2" s="141" t="s">
        <v>46</v>
      </c>
      <c r="C2" s="142"/>
    </row>
    <row r="3" spans="2:4" x14ac:dyDescent="0.3">
      <c r="B3" s="1" t="s">
        <v>1</v>
      </c>
      <c r="C3" s="1">
        <v>22.22</v>
      </c>
    </row>
    <row r="4" spans="2:4" x14ac:dyDescent="0.3">
      <c r="B4" s="1" t="s">
        <v>37</v>
      </c>
      <c r="C4" s="1">
        <v>2.17</v>
      </c>
    </row>
    <row r="5" spans="2:4" x14ac:dyDescent="0.3">
      <c r="B5" s="1" t="s">
        <v>38</v>
      </c>
      <c r="C5" s="1">
        <v>9.1199999999999992</v>
      </c>
    </row>
    <row r="6" spans="2:4" x14ac:dyDescent="0.3">
      <c r="B6" s="1" t="s">
        <v>39</v>
      </c>
      <c r="C6" s="1">
        <v>0.61</v>
      </c>
    </row>
    <row r="7" spans="2:4" x14ac:dyDescent="0.3">
      <c r="B7" s="1" t="s">
        <v>40</v>
      </c>
      <c r="C7" s="1">
        <v>0.83</v>
      </c>
    </row>
    <row r="8" spans="2:4" x14ac:dyDescent="0.3">
      <c r="B8" s="1" t="s">
        <v>41</v>
      </c>
      <c r="C8" s="1">
        <v>42.1</v>
      </c>
    </row>
    <row r="9" spans="2:4" s="8" customFormat="1" x14ac:dyDescent="0.3">
      <c r="B9" s="1" t="s">
        <v>43</v>
      </c>
      <c r="C9" s="1">
        <v>22.95</v>
      </c>
    </row>
    <row r="10" spans="2:4" x14ac:dyDescent="0.3">
      <c r="B10" s="1" t="s">
        <v>42</v>
      </c>
      <c r="C10" s="1">
        <f>SUM(C3:C9)</f>
        <v>100</v>
      </c>
    </row>
    <row r="11" spans="2:4" x14ac:dyDescent="0.3">
      <c r="B11" s="1" t="s">
        <v>44</v>
      </c>
      <c r="C11" s="1">
        <f>(81.3*C3+243*C4+15*C6-25.3*C5+45.6*C7- 6*C8)*4.184</f>
        <v>7938.9642720000011</v>
      </c>
    </row>
    <row r="13" spans="2:4" s="13" customFormat="1" ht="54" customHeight="1" x14ac:dyDescent="0.3">
      <c r="B13" s="141" t="s">
        <v>45</v>
      </c>
      <c r="C13" s="142"/>
    </row>
    <row r="14" spans="2:4" x14ac:dyDescent="0.3">
      <c r="B14" s="1" t="s">
        <v>11</v>
      </c>
      <c r="C14" s="5">
        <v>15.88189154544383</v>
      </c>
      <c r="D14">
        <f>C14/100</f>
        <v>0.1588189154544383</v>
      </c>
    </row>
    <row r="15" spans="2:4" x14ac:dyDescent="0.3">
      <c r="B15" s="1" t="s">
        <v>12</v>
      </c>
      <c r="C15" s="5">
        <v>0.32345265755886871</v>
      </c>
      <c r="D15" s="9">
        <f>C15/100</f>
        <v>3.2345265755886871E-3</v>
      </c>
    </row>
    <row r="16" spans="2:4" x14ac:dyDescent="0.3">
      <c r="B16" s="1" t="s">
        <v>13</v>
      </c>
      <c r="C16" s="5">
        <v>77.135064384855212</v>
      </c>
      <c r="D16" s="9">
        <f>C16/100</f>
        <v>0.77135064384855212</v>
      </c>
    </row>
    <row r="17" spans="2:6" x14ac:dyDescent="0.3">
      <c r="B17" s="1" t="s">
        <v>14</v>
      </c>
      <c r="C17" s="5">
        <v>6.6595914121420963</v>
      </c>
      <c r="D17" s="9">
        <f>C17/100</f>
        <v>6.6595914121420963E-2</v>
      </c>
    </row>
    <row r="18" spans="2:6" x14ac:dyDescent="0.3">
      <c r="C18" t="s">
        <v>53</v>
      </c>
      <c r="E18" t="s">
        <v>54</v>
      </c>
    </row>
    <row r="19" spans="2:6" x14ac:dyDescent="0.3">
      <c r="B19" t="s">
        <v>47</v>
      </c>
      <c r="C19">
        <f>1402.88</f>
        <v>1402.88</v>
      </c>
      <c r="D19" t="s">
        <v>48</v>
      </c>
      <c r="E19">
        <f>C19/1000</f>
        <v>1.4028800000000001</v>
      </c>
      <c r="F19" s="15" t="s">
        <v>48</v>
      </c>
    </row>
    <row r="20" spans="2:6" x14ac:dyDescent="0.3">
      <c r="C20">
        <f>C19*3600</f>
        <v>5050368</v>
      </c>
      <c r="D20" t="s">
        <v>5</v>
      </c>
      <c r="E20">
        <f>E19*3600</f>
        <v>5050.3680000000004</v>
      </c>
      <c r="F20" s="15" t="s">
        <v>5</v>
      </c>
    </row>
  </sheetData>
  <mergeCells count="2">
    <mergeCell ref="B2:C2"/>
    <mergeCell ref="B13:C13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8"/>
  <sheetViews>
    <sheetView zoomScale="80" zoomScaleNormal="80" workbookViewId="0">
      <selection activeCell="O1" sqref="O1"/>
    </sheetView>
  </sheetViews>
  <sheetFormatPr defaultRowHeight="15.6" x14ac:dyDescent="0.3"/>
  <cols>
    <col min="1" max="1" width="59.3984375" customWidth="1"/>
    <col min="16" max="16" width="8.796875" style="24"/>
  </cols>
  <sheetData>
    <row r="1" spans="1:19" x14ac:dyDescent="0.3">
      <c r="A1" s="61" t="s">
        <v>0</v>
      </c>
      <c r="B1" s="62" t="s">
        <v>8</v>
      </c>
      <c r="C1" s="63">
        <v>20</v>
      </c>
    </row>
    <row r="2" spans="1:19" x14ac:dyDescent="0.3">
      <c r="A2" s="3" t="s">
        <v>17</v>
      </c>
      <c r="B2" s="2" t="s">
        <v>1</v>
      </c>
      <c r="C2" s="2">
        <v>40</v>
      </c>
      <c r="D2" s="2">
        <v>40</v>
      </c>
      <c r="E2" s="2">
        <v>40</v>
      </c>
      <c r="F2" s="2">
        <v>40</v>
      </c>
      <c r="G2" s="2">
        <v>40</v>
      </c>
      <c r="H2" s="2">
        <v>40</v>
      </c>
      <c r="I2" s="2">
        <v>40</v>
      </c>
      <c r="J2" s="2">
        <v>40</v>
      </c>
      <c r="K2" s="2">
        <v>40</v>
      </c>
      <c r="L2" s="2">
        <v>40</v>
      </c>
      <c r="M2" s="2">
        <v>40</v>
      </c>
      <c r="N2" s="2">
        <v>40</v>
      </c>
      <c r="O2" s="2">
        <v>40</v>
      </c>
      <c r="P2" s="25">
        <v>40</v>
      </c>
      <c r="Q2" s="2">
        <v>40</v>
      </c>
      <c r="R2" s="2">
        <v>40</v>
      </c>
      <c r="S2" s="2">
        <v>40</v>
      </c>
    </row>
    <row r="3" spans="1:19" x14ac:dyDescent="0.3">
      <c r="A3" s="3" t="s">
        <v>16</v>
      </c>
      <c r="B3" s="2" t="s">
        <v>2</v>
      </c>
      <c r="C3" s="2">
        <v>1.0129999999999999</v>
      </c>
      <c r="D3" s="2">
        <v>1.0129999999999999</v>
      </c>
      <c r="E3" s="2">
        <v>1.0129999999999999</v>
      </c>
      <c r="F3" s="2">
        <v>1.0129999999999999</v>
      </c>
      <c r="G3" s="2">
        <v>1.0129999999999999</v>
      </c>
      <c r="H3" s="2">
        <v>1.0129999999999999</v>
      </c>
      <c r="I3" s="2">
        <v>1.0129999999999999</v>
      </c>
      <c r="J3" s="2">
        <v>1.0129999999999999</v>
      </c>
      <c r="K3" s="2">
        <v>1.0129999999999999</v>
      </c>
      <c r="L3" s="2">
        <v>1.0129999999999999</v>
      </c>
      <c r="M3" s="2">
        <v>1.0129999999999999</v>
      </c>
      <c r="N3" s="2">
        <v>1.0129999999999999</v>
      </c>
      <c r="O3" s="2">
        <v>1.0129999999999999</v>
      </c>
      <c r="P3" s="25">
        <v>1.0129999999999999</v>
      </c>
      <c r="Q3" s="2">
        <v>1.0129999999999999</v>
      </c>
      <c r="R3" s="2">
        <v>1.0129999999999999</v>
      </c>
      <c r="S3" s="2">
        <v>1.0129999999999999</v>
      </c>
    </row>
    <row r="4" spans="1:19" x14ac:dyDescent="0.3">
      <c r="A4" s="3" t="s">
        <v>3</v>
      </c>
      <c r="B4" s="2" t="s">
        <v>1</v>
      </c>
      <c r="C4" s="2">
        <v>40</v>
      </c>
      <c r="D4" s="2">
        <v>40</v>
      </c>
      <c r="E4" s="2">
        <v>40</v>
      </c>
      <c r="F4" s="2">
        <v>40</v>
      </c>
      <c r="G4" s="2">
        <v>40</v>
      </c>
      <c r="H4" s="2">
        <v>40</v>
      </c>
      <c r="I4" s="2">
        <v>40</v>
      </c>
      <c r="J4" s="2">
        <v>40</v>
      </c>
      <c r="K4" s="2">
        <v>40</v>
      </c>
      <c r="L4" s="2">
        <v>40</v>
      </c>
      <c r="M4" s="2">
        <v>40</v>
      </c>
      <c r="N4" s="2">
        <v>40</v>
      </c>
      <c r="O4" s="2">
        <v>40</v>
      </c>
      <c r="P4" s="25">
        <v>40</v>
      </c>
      <c r="Q4" s="2">
        <v>40</v>
      </c>
      <c r="R4" s="2">
        <v>40</v>
      </c>
      <c r="S4" s="2">
        <v>40</v>
      </c>
    </row>
    <row r="5" spans="1:19" x14ac:dyDescent="0.3">
      <c r="A5" s="3" t="s">
        <v>18</v>
      </c>
      <c r="B5" s="2" t="s">
        <v>2</v>
      </c>
      <c r="C5" s="2">
        <v>1.0129999999999999</v>
      </c>
      <c r="D5" s="2">
        <v>1.0129999999999999</v>
      </c>
      <c r="E5" s="2">
        <v>1.0129999999999999</v>
      </c>
      <c r="F5" s="2">
        <v>1.0129999999999999</v>
      </c>
      <c r="G5" s="2">
        <v>1.0129999999999999</v>
      </c>
      <c r="H5" s="2">
        <v>1.0129999999999999</v>
      </c>
      <c r="I5" s="2">
        <v>1.0129999999999999</v>
      </c>
      <c r="J5" s="2">
        <v>1.0129999999999999</v>
      </c>
      <c r="K5" s="2">
        <v>1.0129999999999999</v>
      </c>
      <c r="L5" s="2">
        <v>1.0129999999999999</v>
      </c>
      <c r="M5" s="2">
        <v>1.0129999999999999</v>
      </c>
      <c r="N5" s="2">
        <v>1.0129999999999999</v>
      </c>
      <c r="O5" s="2">
        <v>1.0129999999999999</v>
      </c>
      <c r="P5" s="25">
        <v>1.0129999999999999</v>
      </c>
      <c r="Q5" s="2">
        <v>1.0129999999999999</v>
      </c>
      <c r="R5" s="2">
        <v>1.0129999999999999</v>
      </c>
      <c r="S5" s="2">
        <v>1.0129999999999999</v>
      </c>
    </row>
    <row r="6" spans="1:19" x14ac:dyDescent="0.3">
      <c r="A6" s="3" t="s">
        <v>4</v>
      </c>
      <c r="B6" s="2" t="s">
        <v>5</v>
      </c>
      <c r="C6" s="5">
        <f>'MEA 30%'!$C$6</f>
        <v>5050.3680000000004</v>
      </c>
      <c r="D6" s="5">
        <f>'MEA 30%'!$C$6</f>
        <v>5050.3680000000004</v>
      </c>
      <c r="E6" s="5">
        <f>'MEA 30%'!$C$6</f>
        <v>5050.3680000000004</v>
      </c>
      <c r="F6" s="5">
        <f>'MEA 30%'!$C$6</f>
        <v>5050.3680000000004</v>
      </c>
      <c r="G6" s="5">
        <f>'MEA 30%'!$C$6</f>
        <v>5050.3680000000004</v>
      </c>
      <c r="H6" s="5">
        <f>'MEA 30%'!$C$6</f>
        <v>5050.3680000000004</v>
      </c>
      <c r="I6" s="5">
        <f>'MEA 30%'!$C$6</f>
        <v>5050.3680000000004</v>
      </c>
      <c r="J6" s="5">
        <f>'MEA 30%'!$C$6</f>
        <v>5050.3680000000004</v>
      </c>
      <c r="K6" s="5">
        <f>'MEA 30%'!$C$6</f>
        <v>5050.3680000000004</v>
      </c>
      <c r="L6" s="5">
        <f>'MEA 30%'!$C$6</f>
        <v>5050.3680000000004</v>
      </c>
      <c r="M6" s="5">
        <f>'MEA 30%'!$C$6</f>
        <v>5050.3680000000004</v>
      </c>
      <c r="N6" s="5">
        <f>'MEA 30%'!$C$6</f>
        <v>5050.3680000000004</v>
      </c>
      <c r="O6" s="5">
        <f>'MEA 30%'!$C$6</f>
        <v>5050.3680000000004</v>
      </c>
      <c r="P6" s="26">
        <f>'MEA 30%'!$C$6</f>
        <v>5050.3680000000004</v>
      </c>
      <c r="Q6" s="5">
        <f>'MEA 30%'!$C$6</f>
        <v>5050.3680000000004</v>
      </c>
      <c r="R6" s="5">
        <f>'MEA 30%'!$C$6</f>
        <v>5050.3680000000004</v>
      </c>
      <c r="S6" s="5">
        <f>'MEA 30%'!$C$6</f>
        <v>5050.3680000000004</v>
      </c>
    </row>
    <row r="7" spans="1:19" x14ac:dyDescent="0.3">
      <c r="A7" s="6" t="s">
        <v>6</v>
      </c>
      <c r="B7" s="22" t="s">
        <v>5</v>
      </c>
      <c r="C7" s="31">
        <f>C8*C6</f>
        <v>2525.1840000000002</v>
      </c>
      <c r="D7" s="31">
        <f t="shared" ref="D7:N7" si="0">D8*D6</f>
        <v>3030.2208000000001</v>
      </c>
      <c r="E7" s="31">
        <f t="shared" si="0"/>
        <v>3535.2575999999999</v>
      </c>
      <c r="F7" s="31">
        <f t="shared" si="0"/>
        <v>4040.2944000000007</v>
      </c>
      <c r="G7" s="31">
        <f t="shared" si="0"/>
        <v>4545.3312000000005</v>
      </c>
      <c r="H7" s="31">
        <f t="shared" si="0"/>
        <v>5050.3680000000004</v>
      </c>
      <c r="I7" s="31">
        <f t="shared" si="0"/>
        <v>5555.4048000000012</v>
      </c>
      <c r="J7" s="31">
        <f t="shared" si="0"/>
        <v>6060.4416000000001</v>
      </c>
      <c r="K7" s="31">
        <f t="shared" si="0"/>
        <v>6565.4784000000009</v>
      </c>
      <c r="L7" s="31">
        <f t="shared" si="0"/>
        <v>7070.5151999999998</v>
      </c>
      <c r="M7" s="31">
        <f t="shared" si="0"/>
        <v>7575.5520000000006</v>
      </c>
      <c r="N7" s="31">
        <f t="shared" si="0"/>
        <v>8080.5888000000014</v>
      </c>
      <c r="O7" s="31">
        <f>O8*O6</f>
        <v>8585.6256000000012</v>
      </c>
      <c r="P7" s="32">
        <f>P8*P6</f>
        <v>9074.4507187200015</v>
      </c>
      <c r="Q7" s="31">
        <f>Q8*Q6</f>
        <v>9595.6992000000009</v>
      </c>
      <c r="R7" s="31">
        <f>R8*R6</f>
        <v>10100.736000000001</v>
      </c>
      <c r="S7" s="31">
        <f>S8*S6</f>
        <v>10605.772800000001</v>
      </c>
    </row>
    <row r="8" spans="1:19" x14ac:dyDescent="0.3">
      <c r="A8" s="3" t="s">
        <v>7</v>
      </c>
      <c r="B8" s="2" t="s">
        <v>29</v>
      </c>
      <c r="C8" s="20">
        <v>0.5</v>
      </c>
      <c r="D8" s="29">
        <v>0.6</v>
      </c>
      <c r="E8" s="30">
        <v>0.7</v>
      </c>
      <c r="F8" s="30">
        <v>0.8</v>
      </c>
      <c r="G8" s="30">
        <v>0.9</v>
      </c>
      <c r="H8" s="30">
        <v>1</v>
      </c>
      <c r="I8" s="30">
        <v>1.1000000000000001</v>
      </c>
      <c r="J8" s="30">
        <v>1.2</v>
      </c>
      <c r="K8" s="30">
        <v>1.3</v>
      </c>
      <c r="L8" s="29">
        <v>1.4</v>
      </c>
      <c r="M8" s="30">
        <v>1.5</v>
      </c>
      <c r="N8" s="30">
        <v>1.6</v>
      </c>
      <c r="O8" s="30">
        <v>1.7</v>
      </c>
      <c r="P8" s="32">
        <v>1.7967900000000001</v>
      </c>
      <c r="Q8" s="30">
        <v>1.9</v>
      </c>
      <c r="R8" s="30">
        <v>2</v>
      </c>
      <c r="S8" s="30">
        <v>2.1</v>
      </c>
    </row>
    <row r="9" spans="1:19" ht="18" x14ac:dyDescent="0.4">
      <c r="A9" s="3" t="s">
        <v>32</v>
      </c>
      <c r="B9" s="2" t="s">
        <v>5</v>
      </c>
      <c r="C9" s="1">
        <v>802.09379999999999</v>
      </c>
      <c r="D9" s="1">
        <v>802.09379999999999</v>
      </c>
      <c r="E9" s="1">
        <v>802.09379999999999</v>
      </c>
      <c r="F9" s="1">
        <v>802.09379999999999</v>
      </c>
      <c r="G9" s="1">
        <v>802.09379999999999</v>
      </c>
      <c r="H9" s="1">
        <v>802.09379999999999</v>
      </c>
      <c r="I9" s="1">
        <v>802.09379999999999</v>
      </c>
      <c r="J9" s="1">
        <v>802.09379999999999</v>
      </c>
      <c r="K9" s="1">
        <v>802.09379999999999</v>
      </c>
      <c r="L9" s="1">
        <v>802.09379999999999</v>
      </c>
      <c r="M9" s="1">
        <v>802.09379999999999</v>
      </c>
      <c r="N9" s="1">
        <v>802.09379999999999</v>
      </c>
      <c r="O9" s="1">
        <v>802.09379999999999</v>
      </c>
      <c r="P9" s="32">
        <v>802.09379999999999</v>
      </c>
      <c r="Q9" s="1">
        <v>802.09379999999999</v>
      </c>
      <c r="R9" s="1">
        <v>802.09379999999999</v>
      </c>
      <c r="S9" s="1">
        <v>802.09379999999999</v>
      </c>
    </row>
    <row r="10" spans="1:19" ht="18" x14ac:dyDescent="0.4">
      <c r="A10" s="3" t="s">
        <v>33</v>
      </c>
      <c r="B10" s="2" t="s">
        <v>5</v>
      </c>
      <c r="C10" s="1">
        <v>590.18520000000001</v>
      </c>
      <c r="D10" s="1">
        <v>548.55939999999998</v>
      </c>
      <c r="E10" s="1">
        <v>507.35199999999998</v>
      </c>
      <c r="F10" s="1">
        <v>466.5351</v>
      </c>
      <c r="G10" s="1">
        <v>426.11509999999998</v>
      </c>
      <c r="H10" s="1">
        <v>386.08440000000002</v>
      </c>
      <c r="I10" s="1">
        <v>346.40199999999999</v>
      </c>
      <c r="J10" s="1">
        <v>307.09320000000002</v>
      </c>
      <c r="K10" s="1">
        <v>268.1343</v>
      </c>
      <c r="L10" s="1">
        <v>229.52430000000001</v>
      </c>
      <c r="M10" s="1">
        <v>191.28129999999999</v>
      </c>
      <c r="N10" s="1">
        <v>153.36109999999999</v>
      </c>
      <c r="O10" s="1">
        <v>115.93600000000001</v>
      </c>
      <c r="P10" s="32">
        <v>80.205929999999995</v>
      </c>
      <c r="Q10" s="1">
        <v>43.013559999999998</v>
      </c>
      <c r="R10" s="1">
        <v>9.5597650000000005</v>
      </c>
      <c r="S10" s="35">
        <v>3.5950040000000002E-5</v>
      </c>
    </row>
    <row r="11" spans="1:19" x14ac:dyDescent="0.3">
      <c r="A11" s="3" t="s">
        <v>49</v>
      </c>
      <c r="B11" s="2" t="s">
        <v>5</v>
      </c>
      <c r="C11" s="1">
        <v>211.90860000000001</v>
      </c>
      <c r="D11" s="1">
        <v>253.53440000000001</v>
      </c>
      <c r="E11" s="1">
        <v>294.74180000000001</v>
      </c>
      <c r="F11" s="1">
        <v>335.55869999999999</v>
      </c>
      <c r="G11" s="1">
        <v>375.97879999999998</v>
      </c>
      <c r="H11" s="1">
        <v>416.0095</v>
      </c>
      <c r="I11" s="1">
        <v>455.6918</v>
      </c>
      <c r="J11" s="1">
        <v>495.00069999999999</v>
      </c>
      <c r="K11" s="1">
        <v>533.95950000000005</v>
      </c>
      <c r="L11" s="1">
        <v>572.56960000000004</v>
      </c>
      <c r="M11" s="1">
        <v>610.81259999999997</v>
      </c>
      <c r="N11" s="1">
        <v>648.73289999999997</v>
      </c>
      <c r="O11" s="1">
        <v>686.15779999999995</v>
      </c>
      <c r="P11" s="32">
        <v>721.88789999999995</v>
      </c>
      <c r="Q11" s="1">
        <v>759.08029999999997</v>
      </c>
      <c r="R11" s="1">
        <v>792.53380000000004</v>
      </c>
      <c r="S11" s="1">
        <v>802.09379999999999</v>
      </c>
    </row>
    <row r="12" spans="1:19" ht="18" x14ac:dyDescent="0.4">
      <c r="A12" s="3" t="s">
        <v>19</v>
      </c>
      <c r="B12" s="2" t="s">
        <v>8</v>
      </c>
      <c r="C12" s="30">
        <f>(C9-C10)/C9*100</f>
        <v>26.419428750103791</v>
      </c>
      <c r="D12" s="30">
        <f>(D9-D10)/D9*100</f>
        <v>31.609071158510389</v>
      </c>
      <c r="E12" s="30">
        <f>(E9-E10)/E9*100</f>
        <v>36.746550091772313</v>
      </c>
      <c r="F12" s="30">
        <f t="shared" ref="F12:S12" si="1">(F9-F10)/F9*100</f>
        <v>41.835343946057179</v>
      </c>
      <c r="G12" s="30">
        <f t="shared" si="1"/>
        <v>46.874654809699315</v>
      </c>
      <c r="H12" s="30">
        <f t="shared" si="1"/>
        <v>51.865430202801711</v>
      </c>
      <c r="I12" s="30">
        <f t="shared" si="1"/>
        <v>56.812781746972739</v>
      </c>
      <c r="J12" s="30">
        <f t="shared" si="1"/>
        <v>61.71355519765892</v>
      </c>
      <c r="K12" s="30">
        <f t="shared" si="1"/>
        <v>66.5707053214973</v>
      </c>
      <c r="L12" s="30">
        <f t="shared" si="1"/>
        <v>71.384356792185642</v>
      </c>
      <c r="M12" s="30">
        <f t="shared" si="1"/>
        <v>76.152253015794415</v>
      </c>
      <c r="N12" s="30">
        <f t="shared" si="1"/>
        <v>80.879904569764776</v>
      </c>
      <c r="O12" s="30">
        <f t="shared" si="1"/>
        <v>85.545830175971943</v>
      </c>
      <c r="P12" s="32">
        <f t="shared" si="1"/>
        <v>90.000430124257292</v>
      </c>
      <c r="Q12" s="30">
        <f t="shared" si="1"/>
        <v>94.637340420783715</v>
      </c>
      <c r="R12" s="30">
        <f t="shared" si="1"/>
        <v>98.808148747690112</v>
      </c>
      <c r="S12" s="30">
        <f t="shared" si="1"/>
        <v>99.999995517975577</v>
      </c>
    </row>
    <row r="13" spans="1:19" x14ac:dyDescent="0.3">
      <c r="A13" s="3" t="s">
        <v>20</v>
      </c>
      <c r="B13" s="2" t="s">
        <v>1</v>
      </c>
      <c r="C13" s="1">
        <v>43.470109999999998</v>
      </c>
      <c r="D13" s="1">
        <v>46.166919999999998</v>
      </c>
      <c r="E13" s="1">
        <v>48.44</v>
      </c>
      <c r="F13" s="1">
        <v>50.386650000000003</v>
      </c>
      <c r="G13" s="1">
        <v>52.076000000000001</v>
      </c>
      <c r="H13" s="1">
        <v>53.558410000000002</v>
      </c>
      <c r="I13" s="1">
        <v>54.871070000000003</v>
      </c>
      <c r="J13" s="1">
        <v>56.040570000000002</v>
      </c>
      <c r="K13" s="1">
        <v>57.088479999999997</v>
      </c>
      <c r="L13" s="1">
        <v>58.029339999999998</v>
      </c>
      <c r="M13" s="1">
        <v>58.873860000000001</v>
      </c>
      <c r="N13" s="1">
        <v>59.628079999999997</v>
      </c>
      <c r="O13" s="1">
        <v>60.291130000000003</v>
      </c>
      <c r="P13" s="32">
        <v>60.835360000000001</v>
      </c>
      <c r="Q13" s="1">
        <v>61.260129999999997</v>
      </c>
      <c r="R13" s="1">
        <v>61.237650000000002</v>
      </c>
      <c r="S13" s="1">
        <v>57.791130000000003</v>
      </c>
    </row>
    <row r="14" spans="1:19" ht="18" x14ac:dyDescent="0.4">
      <c r="A14" s="3" t="s">
        <v>21</v>
      </c>
      <c r="B14" s="2" t="s">
        <v>1</v>
      </c>
      <c r="C14" s="1">
        <v>18.265409999999999</v>
      </c>
      <c r="D14" s="1">
        <v>19.524930000000001</v>
      </c>
      <c r="E14" s="1">
        <v>20.883949999999999</v>
      </c>
      <c r="F14" s="1">
        <v>22.280059999999999</v>
      </c>
      <c r="G14" s="1">
        <v>23.673120000000001</v>
      </c>
      <c r="H14" s="1">
        <v>25.041830000000001</v>
      </c>
      <c r="I14" s="1">
        <v>26.376259999999998</v>
      </c>
      <c r="J14" s="1">
        <v>27.67306</v>
      </c>
      <c r="K14" s="1">
        <v>28.93045</v>
      </c>
      <c r="L14" s="1">
        <v>30.15204</v>
      </c>
      <c r="M14" s="1">
        <v>31.344660000000001</v>
      </c>
      <c r="N14" s="1">
        <v>32.52102</v>
      </c>
      <c r="O14" s="1">
        <v>33.691330000000001</v>
      </c>
      <c r="P14" s="32">
        <v>34.850859999999997</v>
      </c>
      <c r="Q14" s="1">
        <v>36.20082</v>
      </c>
      <c r="R14" s="1">
        <v>38.043170000000003</v>
      </c>
      <c r="S14" s="1">
        <v>45.354709999999997</v>
      </c>
    </row>
    <row r="15" spans="1:19" x14ac:dyDescent="0.3">
      <c r="A15" s="3" t="s">
        <v>30</v>
      </c>
      <c r="B15" s="2" t="s">
        <v>5</v>
      </c>
      <c r="C15" s="1">
        <v>9.2220079999999996E-2</v>
      </c>
      <c r="D15" s="1">
        <v>0.13311899999999999</v>
      </c>
      <c r="E15" s="1">
        <v>0.18176729999999999</v>
      </c>
      <c r="F15" s="1">
        <v>0.23836270000000001</v>
      </c>
      <c r="G15" s="1">
        <v>0.30289100000000002</v>
      </c>
      <c r="H15" s="1">
        <v>0.37583939999999999</v>
      </c>
      <c r="I15" s="1">
        <v>0.45797490000000002</v>
      </c>
      <c r="J15" s="1">
        <v>0.55037990000000003</v>
      </c>
      <c r="K15" s="1">
        <v>0.65496089999999996</v>
      </c>
      <c r="L15" s="1">
        <v>0.77444710000000005</v>
      </c>
      <c r="M15" s="1">
        <v>0.91324680000000003</v>
      </c>
      <c r="N15" s="1">
        <v>1.079024</v>
      </c>
      <c r="O15" s="1">
        <v>1.285177</v>
      </c>
      <c r="P15" s="32">
        <v>1.550732</v>
      </c>
      <c r="Q15" s="1">
        <v>1.9867349999999999</v>
      </c>
      <c r="R15" s="1">
        <v>2.9597929999999999</v>
      </c>
      <c r="S15" s="1">
        <v>4.1367960000000004</v>
      </c>
    </row>
    <row r="16" spans="1:19" ht="18" x14ac:dyDescent="0.4">
      <c r="A16" s="3" t="s">
        <v>22</v>
      </c>
      <c r="B16" s="2" t="s">
        <v>9</v>
      </c>
      <c r="C16" s="1">
        <f>4815.011/8266.397</f>
        <v>0.58248000912610409</v>
      </c>
      <c r="D16" s="1">
        <f>5760.836/9919.309</f>
        <v>0.58076989032199733</v>
      </c>
      <c r="E16" s="1">
        <f>6697.155/11572.09</f>
        <v>0.57873340079449775</v>
      </c>
      <c r="F16" s="1">
        <f>7624.601/13224.75</f>
        <v>0.57654027486341897</v>
      </c>
      <c r="G16" s="1">
        <f>8543.031/14877.27</f>
        <v>0.5742337807944603</v>
      </c>
      <c r="H16" s="1">
        <f>9452.613/16529.66</f>
        <v>0.57185767886332806</v>
      </c>
      <c r="I16" s="1">
        <f>10354.28/18181.9</f>
        <v>0.56948283732723204</v>
      </c>
      <c r="J16" s="1">
        <f>11247.46/19833.96</f>
        <v>0.56708090567894665</v>
      </c>
      <c r="K16" s="1">
        <f>12132.69/21485.84</f>
        <v>0.56468306568419013</v>
      </c>
      <c r="L16" s="1">
        <f>13009.99/23137.46</f>
        <v>0.5622911935882331</v>
      </c>
      <c r="M16" s="1">
        <f>13878.95/24788.77</f>
        <v>0.55988861085080055</v>
      </c>
      <c r="N16" s="1">
        <f>14740.58/26439.63</f>
        <v>0.55751839189882757</v>
      </c>
      <c r="O16" s="1">
        <f>15590.96/28089.85</f>
        <v>0.55503891975215247</v>
      </c>
      <c r="P16" s="32">
        <f>16402.81/29685.99</f>
        <v>0.55254380938617853</v>
      </c>
      <c r="Q16" s="1">
        <f>17247.91/31385.52</f>
        <v>0.54954991983564394</v>
      </c>
      <c r="R16" s="1">
        <f>18008.04/33023.17</f>
        <v>0.54531530437568532</v>
      </c>
      <c r="S16" s="1">
        <f>18225.26/34657.49</f>
        <v>0.52586785713564366</v>
      </c>
    </row>
    <row r="17" spans="1:19" ht="18" x14ac:dyDescent="0.4">
      <c r="A17" s="3" t="s">
        <v>23</v>
      </c>
      <c r="B17" s="2" t="s">
        <v>1</v>
      </c>
      <c r="C17" s="1">
        <v>65</v>
      </c>
      <c r="D17" s="1">
        <v>65</v>
      </c>
      <c r="E17" s="1">
        <v>65</v>
      </c>
      <c r="F17" s="1">
        <v>65</v>
      </c>
      <c r="G17" s="1">
        <v>65</v>
      </c>
      <c r="H17" s="1">
        <v>65</v>
      </c>
      <c r="I17" s="1">
        <v>65</v>
      </c>
      <c r="J17" s="1">
        <v>65</v>
      </c>
      <c r="K17" s="1">
        <v>65</v>
      </c>
      <c r="L17" s="1">
        <v>65</v>
      </c>
      <c r="M17" s="1">
        <v>65</v>
      </c>
      <c r="N17" s="1">
        <v>65</v>
      </c>
      <c r="O17" s="1">
        <v>65</v>
      </c>
      <c r="P17" s="32">
        <v>65</v>
      </c>
      <c r="Q17" s="1">
        <v>65</v>
      </c>
      <c r="R17" s="1">
        <v>65</v>
      </c>
      <c r="S17" s="1">
        <v>65</v>
      </c>
    </row>
    <row r="18" spans="1:19" ht="18" x14ac:dyDescent="0.4">
      <c r="A18" s="3" t="s">
        <v>24</v>
      </c>
      <c r="B18" s="2" t="s">
        <v>9</v>
      </c>
      <c r="C18" s="1">
        <f>1735.907/8266.227</f>
        <v>0.20999991894730205</v>
      </c>
      <c r="D18" s="1">
        <f>2083.012/9919.105</f>
        <v>0.20999999495922267</v>
      </c>
      <c r="E18" s="1">
        <f>2430.09/11571.86</f>
        <v>0.20999994815008133</v>
      </c>
      <c r="F18" s="1">
        <f>2777.141/13224.48</f>
        <v>0.210000015123468</v>
      </c>
      <c r="G18" s="1">
        <f>3124.165/14876.98</f>
        <v>0.20999994622564527</v>
      </c>
      <c r="H18" s="1">
        <f>3471.16/16529.33</f>
        <v>0.21000004234896391</v>
      </c>
      <c r="I18" s="1">
        <f>3818.123/18181.54</f>
        <v>0.20999997799966338</v>
      </c>
      <c r="J18" s="1">
        <f>4165.05/19833.57</f>
        <v>0.21000001512586994</v>
      </c>
      <c r="K18" s="1">
        <f>4511.934/21485.4</f>
        <v>0.21</v>
      </c>
      <c r="L18" s="1">
        <f>4858.768/23136.99</f>
        <v>0.21000000432208338</v>
      </c>
      <c r="M18" s="1">
        <f>5205.534/24788.26</f>
        <v>0.20999997579499327</v>
      </c>
      <c r="N18" s="1">
        <f>5552.208/26439.09</f>
        <v>0.20999996595949405</v>
      </c>
      <c r="O18" s="1">
        <f>5898.744/28089.25</f>
        <v>0.21000005340121219</v>
      </c>
      <c r="P18" s="32">
        <f>6233.894/29685.2</f>
        <v>0.21000006737364074</v>
      </c>
      <c r="Q18" s="1">
        <f>6590.817/31384.85</f>
        <v>0.20999995220623965</v>
      </c>
      <c r="R18" s="1">
        <f>6934.713/33022.44</f>
        <v>0.21000001816946293</v>
      </c>
      <c r="S18" s="1">
        <f>7277.894/34656.64</f>
        <v>0.20999998845820023</v>
      </c>
    </row>
    <row r="19" spans="1:19" x14ac:dyDescent="0.3">
      <c r="A19" s="3" t="s">
        <v>25</v>
      </c>
      <c r="B19" s="2" t="s">
        <v>10</v>
      </c>
      <c r="C19" s="30">
        <v>790.06500000000005</v>
      </c>
      <c r="D19" s="30">
        <v>950.61800000000005</v>
      </c>
      <c r="E19" s="30">
        <v>1111.58</v>
      </c>
      <c r="F19" s="30">
        <v>1272.94</v>
      </c>
      <c r="G19" s="30">
        <v>1434.79</v>
      </c>
      <c r="H19" s="30">
        <v>1596.26</v>
      </c>
      <c r="I19" s="30">
        <v>1757.36</v>
      </c>
      <c r="J19" s="30">
        <v>1917.9</v>
      </c>
      <c r="K19" s="30">
        <v>2077.71</v>
      </c>
      <c r="L19" s="30">
        <v>2237.0500000000002</v>
      </c>
      <c r="M19" s="30">
        <v>2395.9499999999998</v>
      </c>
      <c r="N19" s="30">
        <v>2554.5700000000002</v>
      </c>
      <c r="O19" s="30">
        <v>2712.71</v>
      </c>
      <c r="P19" s="30">
        <v>2865.46</v>
      </c>
      <c r="Q19" s="30">
        <v>3027.63</v>
      </c>
      <c r="R19" s="30">
        <v>3182.75</v>
      </c>
      <c r="S19" s="30">
        <v>3319.47</v>
      </c>
    </row>
    <row r="20" spans="1:19" ht="18" x14ac:dyDescent="0.4">
      <c r="A20" s="3" t="s">
        <v>26</v>
      </c>
      <c r="B20" s="2" t="s">
        <v>1</v>
      </c>
      <c r="C20" s="1">
        <v>120.6574</v>
      </c>
      <c r="D20" s="1">
        <v>120.6465</v>
      </c>
      <c r="E20" s="1">
        <v>120.63679999999999</v>
      </c>
      <c r="F20" s="1">
        <v>120.6284</v>
      </c>
      <c r="G20" s="1">
        <v>120.6203</v>
      </c>
      <c r="H20" s="1">
        <v>120.61320000000001</v>
      </c>
      <c r="I20" s="1">
        <v>120.60639999999999</v>
      </c>
      <c r="J20" s="1">
        <v>120.5997</v>
      </c>
      <c r="K20" s="1">
        <v>120.5934</v>
      </c>
      <c r="L20" s="1">
        <v>120.5877</v>
      </c>
      <c r="M20" s="1">
        <v>120.5819</v>
      </c>
      <c r="N20" s="1">
        <v>120.5759</v>
      </c>
      <c r="O20" s="1">
        <v>120.5702</v>
      </c>
      <c r="P20" s="32">
        <v>120.5645</v>
      </c>
      <c r="Q20" s="1">
        <v>120.5582</v>
      </c>
      <c r="R20" s="1">
        <v>120.54810000000001</v>
      </c>
      <c r="S20" s="1">
        <v>120.5125</v>
      </c>
    </row>
    <row r="21" spans="1:19" x14ac:dyDescent="0.3">
      <c r="A21" s="3" t="s">
        <v>31</v>
      </c>
      <c r="B21" s="2" t="s">
        <v>5</v>
      </c>
      <c r="C21" s="1">
        <v>1.041422E-2</v>
      </c>
      <c r="D21" s="1">
        <v>1.238127E-2</v>
      </c>
      <c r="E21" s="1">
        <v>1.431004E-2</v>
      </c>
      <c r="F21" s="1">
        <v>1.6207610000000001E-2</v>
      </c>
      <c r="G21" s="1">
        <v>1.8063550000000001E-2</v>
      </c>
      <c r="H21" s="1">
        <v>2.0007199999999999E-2</v>
      </c>
      <c r="I21" s="1">
        <v>2.2001719999999999E-2</v>
      </c>
      <c r="J21" s="1">
        <v>2.4093799999999999E-2</v>
      </c>
      <c r="K21" s="1">
        <v>2.6308720000000001E-2</v>
      </c>
      <c r="L21" s="1">
        <v>2.8627670000000001E-2</v>
      </c>
      <c r="M21" s="1">
        <v>3.100255E-2</v>
      </c>
      <c r="N21" s="1">
        <v>3.3427869999999998E-2</v>
      </c>
      <c r="O21" s="1">
        <v>3.5939560000000002E-2</v>
      </c>
      <c r="P21" s="32">
        <v>3.8455570000000001E-2</v>
      </c>
      <c r="Q21" s="1">
        <v>4.1267779999999997E-2</v>
      </c>
      <c r="R21" s="1">
        <v>4.4348970000000001E-2</v>
      </c>
      <c r="S21" s="1">
        <v>5.140728E-2</v>
      </c>
    </row>
    <row r="22" spans="1:19" x14ac:dyDescent="0.3">
      <c r="A22" s="3" t="s">
        <v>50</v>
      </c>
      <c r="B22" s="2" t="s">
        <v>5</v>
      </c>
      <c r="C22" s="1">
        <f>C21+C15</f>
        <v>0.1026343</v>
      </c>
      <c r="D22" s="1">
        <f>D21+D15</f>
        <v>0.14550026999999999</v>
      </c>
      <c r="E22" s="1">
        <f>E21+E15</f>
        <v>0.19607733999999999</v>
      </c>
      <c r="F22" s="1">
        <f t="shared" ref="F22:N22" si="2">F21+F15</f>
        <v>0.25457031000000002</v>
      </c>
      <c r="G22" s="1">
        <f t="shared" si="2"/>
        <v>0.32095455000000001</v>
      </c>
      <c r="H22" s="1">
        <f t="shared" si="2"/>
        <v>0.39584659999999999</v>
      </c>
      <c r="I22" s="1">
        <f t="shared" si="2"/>
        <v>0.47997662000000002</v>
      </c>
      <c r="J22" s="1">
        <f t="shared" si="2"/>
        <v>0.57447369999999998</v>
      </c>
      <c r="K22" s="1">
        <f t="shared" si="2"/>
        <v>0.68126961999999991</v>
      </c>
      <c r="L22" s="1">
        <f t="shared" si="2"/>
        <v>0.80307477000000005</v>
      </c>
      <c r="M22" s="1">
        <f t="shared" si="2"/>
        <v>0.94424934999999999</v>
      </c>
      <c r="N22" s="1">
        <f t="shared" si="2"/>
        <v>1.1124518699999999</v>
      </c>
      <c r="O22" s="1">
        <f>O21+O15</f>
        <v>1.3211165600000001</v>
      </c>
      <c r="P22" s="32">
        <f>P21+P15</f>
        <v>1.58918757</v>
      </c>
      <c r="Q22" s="1">
        <f>Q21+Q15</f>
        <v>2.02800278</v>
      </c>
      <c r="R22" s="1">
        <f>R21+R15</f>
        <v>3.0041419700000001</v>
      </c>
      <c r="S22" s="1">
        <f>S21+S15</f>
        <v>4.1882032800000006</v>
      </c>
    </row>
    <row r="23" spans="1:19" x14ac:dyDescent="0.3">
      <c r="A23" s="3" t="s">
        <v>51</v>
      </c>
      <c r="B23" s="2" t="s">
        <v>52</v>
      </c>
      <c r="C23" s="1">
        <f>C22/C11*1000</f>
        <v>0.4843328680383901</v>
      </c>
      <c r="D23" s="1">
        <f>D22/D11*1000</f>
        <v>0.5738876854580679</v>
      </c>
      <c r="E23" s="1">
        <f>E22/E11*1000</f>
        <v>0.66525121309566537</v>
      </c>
      <c r="F23" s="1">
        <f t="shared" ref="F23:N23" si="3">F22/F11*1000</f>
        <v>0.75864613255445323</v>
      </c>
      <c r="G23" s="1">
        <f t="shared" si="3"/>
        <v>0.85365065796262984</v>
      </c>
      <c r="H23" s="1">
        <f t="shared" si="3"/>
        <v>0.95153259721232331</v>
      </c>
      <c r="I23" s="1">
        <f t="shared" si="3"/>
        <v>1.0532922031952299</v>
      </c>
      <c r="J23" s="1">
        <f t="shared" si="3"/>
        <v>1.1605512881092896</v>
      </c>
      <c r="K23" s="1">
        <f t="shared" si="3"/>
        <v>1.2758825716182591</v>
      </c>
      <c r="L23" s="1">
        <f t="shared" si="3"/>
        <v>1.4025801754057499</v>
      </c>
      <c r="M23" s="1">
        <f t="shared" si="3"/>
        <v>1.5458904253121171</v>
      </c>
      <c r="N23" s="1">
        <f t="shared" si="3"/>
        <v>1.7148072342253644</v>
      </c>
      <c r="O23" s="1">
        <f>O22/O11*1000</f>
        <v>1.9253829949903656</v>
      </c>
      <c r="P23" s="32">
        <f>P22/P11*1000</f>
        <v>2.2014326185547648</v>
      </c>
      <c r="Q23" s="1">
        <f>Q22/Q11*1000</f>
        <v>2.6716577679594637</v>
      </c>
      <c r="R23" s="1">
        <f>R22/R11*1000</f>
        <v>3.7905537530386715</v>
      </c>
      <c r="S23" s="1">
        <f>S22/S11*1000</f>
        <v>5.2215878990711566</v>
      </c>
    </row>
    <row r="24" spans="1:19" x14ac:dyDescent="0.3">
      <c r="A24" s="3" t="s">
        <v>34</v>
      </c>
      <c r="B24" s="2" t="s">
        <v>28</v>
      </c>
      <c r="C24" s="1">
        <f>C19/C11</f>
        <v>3.7283291003762944</v>
      </c>
      <c r="D24" s="1">
        <f>D19/D11</f>
        <v>3.7494635836399324</v>
      </c>
      <c r="E24" s="1">
        <f>E19/E11</f>
        <v>3.7713687030478877</v>
      </c>
      <c r="F24" s="1">
        <f t="shared" ref="F24:S24" si="4">F19/F11</f>
        <v>3.7934942530174305</v>
      </c>
      <c r="G24" s="1">
        <f t="shared" si="4"/>
        <v>3.8161460167434975</v>
      </c>
      <c r="H24" s="1">
        <f t="shared" si="4"/>
        <v>3.8370758360085526</v>
      </c>
      <c r="I24" s="1">
        <f t="shared" si="4"/>
        <v>3.8564661466368277</v>
      </c>
      <c r="J24" s="1">
        <f t="shared" si="4"/>
        <v>3.8745399753980148</v>
      </c>
      <c r="K24" s="1">
        <f t="shared" si="4"/>
        <v>3.8911378110137562</v>
      </c>
      <c r="L24" s="1">
        <f t="shared" si="4"/>
        <v>3.9070359306536706</v>
      </c>
      <c r="M24" s="1">
        <f t="shared" si="4"/>
        <v>3.9225615188684713</v>
      </c>
      <c r="N24" s="1">
        <f t="shared" si="4"/>
        <v>3.937783947754153</v>
      </c>
      <c r="O24" s="1">
        <f t="shared" si="4"/>
        <v>3.9534783398221229</v>
      </c>
      <c r="P24" s="32">
        <f t="shared" si="4"/>
        <v>3.9693974646201995</v>
      </c>
      <c r="Q24" s="1">
        <f t="shared" si="4"/>
        <v>3.9885503549492727</v>
      </c>
      <c r="R24" s="1">
        <f t="shared" si="4"/>
        <v>4.0159170498469594</v>
      </c>
      <c r="S24" s="1">
        <f t="shared" si="4"/>
        <v>4.1385059951841043</v>
      </c>
    </row>
    <row r="25" spans="1:19" x14ac:dyDescent="0.3">
      <c r="A25" s="150" t="s">
        <v>27</v>
      </c>
      <c r="B25" s="12" t="s">
        <v>36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32"/>
      <c r="Q25" s="1"/>
      <c r="R25" s="1"/>
      <c r="S25" s="1"/>
    </row>
    <row r="26" spans="1:19" x14ac:dyDescent="0.3">
      <c r="A26" s="150"/>
      <c r="B26" s="2" t="s">
        <v>11</v>
      </c>
      <c r="C26" s="1">
        <v>0.88185360000000002</v>
      </c>
      <c r="D26" s="1">
        <v>0.88198390000000004</v>
      </c>
      <c r="E26" s="1">
        <v>0.88211240000000002</v>
      </c>
      <c r="F26" s="1">
        <v>0.88221720000000003</v>
      </c>
      <c r="G26" s="1">
        <v>0.88232489999999997</v>
      </c>
      <c r="H26" s="1">
        <v>0.88213940000000002</v>
      </c>
      <c r="I26" s="1">
        <v>0.88179540000000001</v>
      </c>
      <c r="J26" s="1">
        <v>0.88125439999999999</v>
      </c>
      <c r="K26" s="1">
        <v>0.8805113</v>
      </c>
      <c r="L26" s="1">
        <v>0.87964450000000005</v>
      </c>
      <c r="M26" s="1">
        <v>0.87873860000000004</v>
      </c>
      <c r="N26" s="1">
        <v>0.87780959999999997</v>
      </c>
      <c r="O26" s="1">
        <v>0.87680329999999995</v>
      </c>
      <c r="P26" s="32">
        <v>0.875753</v>
      </c>
      <c r="Q26" s="1">
        <v>0.87446670000000004</v>
      </c>
      <c r="R26" s="1">
        <v>0.87259500000000001</v>
      </c>
      <c r="S26" s="1">
        <v>0.86344509999999997</v>
      </c>
    </row>
    <row r="27" spans="1:19" x14ac:dyDescent="0.3">
      <c r="A27" s="150"/>
      <c r="B27" s="2" t="s">
        <v>12</v>
      </c>
      <c r="C27" s="1">
        <v>3.7228040000000001E-3</v>
      </c>
      <c r="D27" s="1">
        <v>3.5246159999999999E-3</v>
      </c>
      <c r="E27" s="1">
        <v>3.3242699999999998E-3</v>
      </c>
      <c r="F27" s="1">
        <v>3.1326140000000001E-3</v>
      </c>
      <c r="G27" s="1">
        <v>2.9552559999999999E-3</v>
      </c>
      <c r="H27" s="1">
        <v>2.7925580000000001E-3</v>
      </c>
      <c r="I27" s="1">
        <v>2.6442060000000001E-3</v>
      </c>
      <c r="J27" s="1">
        <v>2.5092059999999999E-3</v>
      </c>
      <c r="K27" s="1">
        <v>2.3861049999999999E-3</v>
      </c>
      <c r="L27" s="1">
        <v>2.2735009999999998E-3</v>
      </c>
      <c r="M27" s="1">
        <v>2.170015E-3</v>
      </c>
      <c r="N27" s="1">
        <v>2.0734690000000001E-3</v>
      </c>
      <c r="O27" s="1">
        <v>1.9830580000000002E-3</v>
      </c>
      <c r="P27" s="32">
        <v>1.8983380000000001E-3</v>
      </c>
      <c r="Q27" s="1">
        <v>1.805669E-3</v>
      </c>
      <c r="R27" s="1">
        <v>1.6889229999999999E-3</v>
      </c>
      <c r="S27" s="1">
        <v>1.3180570000000001E-3</v>
      </c>
    </row>
    <row r="28" spans="1:19" x14ac:dyDescent="0.3">
      <c r="A28" s="150"/>
      <c r="B28" s="2" t="s">
        <v>13</v>
      </c>
      <c r="C28" s="1">
        <v>2.064685E-4</v>
      </c>
      <c r="D28" s="1">
        <v>2.0233529999999999E-4</v>
      </c>
      <c r="E28" s="1">
        <v>1.980068E-4</v>
      </c>
      <c r="F28" s="1">
        <v>1.9374609999999999E-4</v>
      </c>
      <c r="G28" s="1">
        <v>1.8972870000000001E-4</v>
      </c>
      <c r="H28" s="1">
        <v>1.8594879999999999E-4</v>
      </c>
      <c r="I28" s="1">
        <v>1.8242470000000001E-4</v>
      </c>
      <c r="J28" s="1">
        <v>1.791583E-4</v>
      </c>
      <c r="K28" s="1">
        <v>1.7612039999999999E-4</v>
      </c>
      <c r="L28" s="1">
        <v>1.7329809999999999E-4</v>
      </c>
      <c r="M28" s="1">
        <v>1.70679E-4</v>
      </c>
      <c r="N28" s="1">
        <v>1.6819759999999999E-4</v>
      </c>
      <c r="O28" s="1">
        <v>1.6587239999999999E-4</v>
      </c>
      <c r="P28" s="32">
        <v>1.6367460000000001E-4</v>
      </c>
      <c r="Q28" s="1">
        <v>1.6126650000000001E-4</v>
      </c>
      <c r="R28" s="1">
        <v>1.5823899999999999E-4</v>
      </c>
      <c r="S28" s="1">
        <v>1.48978E-4</v>
      </c>
    </row>
    <row r="29" spans="1:19" x14ac:dyDescent="0.3">
      <c r="A29" s="150"/>
      <c r="B29" s="2" t="s">
        <v>14</v>
      </c>
      <c r="C29" s="35">
        <v>3.610111E-5</v>
      </c>
      <c r="D29" s="35">
        <v>3.5378389999999999E-5</v>
      </c>
      <c r="E29" s="35">
        <v>3.4615649999999998E-5</v>
      </c>
      <c r="F29" s="35">
        <v>3.3858649999999998E-5</v>
      </c>
      <c r="G29" s="35">
        <v>3.3138690000000001E-5</v>
      </c>
      <c r="H29" s="35">
        <v>3.2455659999999999E-5</v>
      </c>
      <c r="I29" s="35">
        <v>3.1813570000000001E-5</v>
      </c>
      <c r="J29" s="35">
        <v>3.1213410000000002E-5</v>
      </c>
      <c r="K29" s="35">
        <v>3.0650800000000001E-5</v>
      </c>
      <c r="L29" s="35">
        <v>3.0123809999999998E-5</v>
      </c>
      <c r="M29" s="35">
        <v>2.9630519999999998E-5</v>
      </c>
      <c r="N29" s="35">
        <v>2.9159419999999999E-5</v>
      </c>
      <c r="O29" s="35">
        <v>2.8713490000000001E-5</v>
      </c>
      <c r="P29" s="36">
        <v>2.8288150000000001E-5</v>
      </c>
      <c r="Q29" s="35">
        <v>2.7816719999999999E-5</v>
      </c>
      <c r="R29" s="35">
        <v>2.7214340000000001E-5</v>
      </c>
      <c r="S29" s="35">
        <v>2.525963E-5</v>
      </c>
    </row>
    <row r="30" spans="1:19" x14ac:dyDescent="0.3">
      <c r="A30" s="150"/>
      <c r="B30" s="2" t="s">
        <v>15</v>
      </c>
      <c r="C30" s="1">
        <v>0.1141132</v>
      </c>
      <c r="D30" s="1">
        <v>0.11418639999999999</v>
      </c>
      <c r="E30" s="1">
        <v>0.1142635</v>
      </c>
      <c r="F30" s="1">
        <v>0.1143556</v>
      </c>
      <c r="G30" s="1">
        <v>0.1144302</v>
      </c>
      <c r="H30" s="1">
        <v>0.1147825</v>
      </c>
      <c r="I30" s="1">
        <v>0.11527859999999999</v>
      </c>
      <c r="J30" s="1">
        <v>0.1159578</v>
      </c>
      <c r="K30" s="1">
        <v>0.11682679999999999</v>
      </c>
      <c r="L30" s="1">
        <v>0.1178083</v>
      </c>
      <c r="M30" s="1">
        <v>0.1188197</v>
      </c>
      <c r="N30" s="1">
        <v>0.119847</v>
      </c>
      <c r="O30" s="1">
        <v>0.1209451</v>
      </c>
      <c r="P30" s="32">
        <v>0.1220813</v>
      </c>
      <c r="Q30" s="1">
        <v>0.1234616</v>
      </c>
      <c r="R30" s="1">
        <v>0.12545129999999999</v>
      </c>
      <c r="S30" s="1">
        <v>0.13497049999999999</v>
      </c>
    </row>
    <row r="31" spans="1:19" x14ac:dyDescent="0.3">
      <c r="A31" s="150"/>
      <c r="B31" s="2" t="s">
        <v>0</v>
      </c>
      <c r="C31" s="35">
        <v>6.77716E-5</v>
      </c>
      <c r="D31" s="35">
        <v>6.7465790000000006E-5</v>
      </c>
      <c r="E31" s="35">
        <v>6.7217780000000004E-5</v>
      </c>
      <c r="F31" s="35">
        <v>6.7023769999999998E-5</v>
      </c>
      <c r="G31" s="35">
        <v>6.6830090000000002E-5</v>
      </c>
      <c r="H31" s="35">
        <v>6.7044859999999996E-5</v>
      </c>
      <c r="I31" s="35">
        <v>6.7445149999999999E-5</v>
      </c>
      <c r="J31" s="35">
        <v>6.8119940000000001E-5</v>
      </c>
      <c r="K31" s="35">
        <v>6.9069349999999996E-5</v>
      </c>
      <c r="L31" s="35">
        <v>7.019711E-5</v>
      </c>
      <c r="M31" s="35">
        <v>7.1369980000000001E-5</v>
      </c>
      <c r="N31" s="35">
        <v>7.2563689999999997E-5</v>
      </c>
      <c r="O31" s="35">
        <v>7.3875530000000003E-5</v>
      </c>
      <c r="P31" s="36">
        <v>7.5251640000000006E-5</v>
      </c>
      <c r="Q31" s="35">
        <v>7.6942179999999995E-5</v>
      </c>
      <c r="R31" s="35">
        <v>7.9408460000000001E-5</v>
      </c>
      <c r="S31" s="35">
        <v>9.2129399999999999E-5</v>
      </c>
    </row>
    <row r="32" spans="1:19" x14ac:dyDescent="0.3">
      <c r="A32" s="150" t="s">
        <v>27</v>
      </c>
      <c r="B32" s="12" t="s">
        <v>35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32"/>
      <c r="Q32" s="1"/>
      <c r="R32" s="1"/>
      <c r="S32" s="1"/>
    </row>
    <row r="33" spans="1:19" x14ac:dyDescent="0.3">
      <c r="A33" s="150"/>
      <c r="B33" s="2" t="s">
        <v>11</v>
      </c>
      <c r="C33" s="1">
        <v>0.75786120000000001</v>
      </c>
      <c r="D33" s="1">
        <v>0.75786549999999997</v>
      </c>
      <c r="E33" s="1">
        <v>0.75786439999999999</v>
      </c>
      <c r="F33" s="1">
        <v>0.75783069999999997</v>
      </c>
      <c r="G33" s="1">
        <v>0.75781860000000001</v>
      </c>
      <c r="H33" s="1">
        <v>0.75729709999999995</v>
      </c>
      <c r="I33" s="1">
        <v>0.88179540000000001</v>
      </c>
      <c r="J33" s="1">
        <v>0.75538309999999997</v>
      </c>
      <c r="K33" s="1">
        <v>0.75391220000000003</v>
      </c>
      <c r="L33" s="1">
        <v>0.75223660000000003</v>
      </c>
      <c r="M33" s="1">
        <v>0.75050570000000005</v>
      </c>
      <c r="N33" s="1">
        <v>0.74874629999999998</v>
      </c>
      <c r="O33" s="1">
        <v>0.74686169999999996</v>
      </c>
      <c r="P33" s="32">
        <v>0.74491110000000005</v>
      </c>
      <c r="Q33" s="1">
        <v>0.74254189999999998</v>
      </c>
      <c r="R33" s="1">
        <v>0.73912929999999999</v>
      </c>
      <c r="S33" s="1">
        <v>0.72290290000000001</v>
      </c>
    </row>
    <row r="34" spans="1:19" x14ac:dyDescent="0.3">
      <c r="A34" s="150"/>
      <c r="B34" s="2" t="s">
        <v>12</v>
      </c>
      <c r="C34" s="1">
        <v>2.1978290000000001E-3</v>
      </c>
      <c r="D34" s="1">
        <v>2.0805289999999998E-3</v>
      </c>
      <c r="E34" s="1">
        <v>1.961979E-3</v>
      </c>
      <c r="F34" s="1">
        <v>1.848562E-3</v>
      </c>
      <c r="G34" s="1">
        <v>1.743662E-3</v>
      </c>
      <c r="H34" s="1">
        <v>1.646879E-3</v>
      </c>
      <c r="I34" s="1">
        <v>2.6442060000000001E-3</v>
      </c>
      <c r="J34" s="1">
        <v>1.4775179999999999E-3</v>
      </c>
      <c r="K34" s="1">
        <v>1.403479E-3</v>
      </c>
      <c r="L34" s="1">
        <v>1.3355890000000001E-3</v>
      </c>
      <c r="M34" s="1">
        <v>1.2731730000000001E-3</v>
      </c>
      <c r="N34" s="1">
        <v>1.2149610000000001E-3</v>
      </c>
      <c r="O34" s="1">
        <v>1.1603900000000001E-3</v>
      </c>
      <c r="P34" s="32">
        <v>1.109243E-3</v>
      </c>
      <c r="Q34" s="1">
        <v>1.0532860000000001E-3</v>
      </c>
      <c r="R34" s="1">
        <v>9.8276099999999996E-4</v>
      </c>
      <c r="S34" s="1">
        <v>7.5807079999999996E-4</v>
      </c>
    </row>
    <row r="35" spans="1:19" x14ac:dyDescent="0.3">
      <c r="A35" s="150"/>
      <c r="B35" s="2" t="s">
        <v>13</v>
      </c>
      <c r="C35" s="1">
        <v>2.7875540000000002E-4</v>
      </c>
      <c r="D35" s="1">
        <v>2.7313629999999999E-4</v>
      </c>
      <c r="E35" s="1">
        <v>2.6725389999999999E-4</v>
      </c>
      <c r="F35" s="1">
        <v>2.6146040000000001E-4</v>
      </c>
      <c r="G35" s="1">
        <v>2.5600360000000002E-4</v>
      </c>
      <c r="H35" s="1">
        <v>2.5078330000000002E-4</v>
      </c>
      <c r="I35" s="1">
        <v>1.8242470000000001E-4</v>
      </c>
      <c r="J35" s="1">
        <v>2.412565E-4</v>
      </c>
      <c r="K35" s="1">
        <v>2.369037E-4</v>
      </c>
      <c r="L35" s="1">
        <v>2.3281840000000001E-4</v>
      </c>
      <c r="M35" s="1">
        <v>2.29008E-4</v>
      </c>
      <c r="N35" s="1">
        <v>2.2538779999999999E-4</v>
      </c>
      <c r="O35" s="1">
        <v>2.21967E-4</v>
      </c>
      <c r="P35" s="32">
        <v>2.187159E-4</v>
      </c>
      <c r="Q35" s="1">
        <v>2.1512859999999999E-4</v>
      </c>
      <c r="R35" s="1">
        <v>2.1057040000000001E-4</v>
      </c>
      <c r="S35" s="1">
        <v>1.9594919999999999E-4</v>
      </c>
    </row>
    <row r="36" spans="1:19" x14ac:dyDescent="0.3">
      <c r="A36" s="150"/>
      <c r="B36" s="2" t="s">
        <v>14</v>
      </c>
      <c r="C36" s="35">
        <v>4.2670599999999998E-5</v>
      </c>
      <c r="D36" s="35">
        <v>4.1810419999999997E-5</v>
      </c>
      <c r="E36" s="35">
        <v>4.0902989999999997E-5</v>
      </c>
      <c r="F36" s="35">
        <v>4.0001959999999998E-5</v>
      </c>
      <c r="G36" s="35">
        <v>3.9145959999999998E-5</v>
      </c>
      <c r="H36" s="35">
        <v>3.8320800000000001E-5</v>
      </c>
      <c r="I36" s="35">
        <v>3.1813570000000001E-5</v>
      </c>
      <c r="J36" s="35">
        <v>3.6797820000000003E-5</v>
      </c>
      <c r="K36" s="35">
        <v>3.609463E-5</v>
      </c>
      <c r="L36" s="35">
        <v>3.5430079999999997E-5</v>
      </c>
      <c r="M36" s="35">
        <v>3.4805550000000001E-5</v>
      </c>
      <c r="N36" s="35">
        <v>3.4208029999999997E-5</v>
      </c>
      <c r="O36" s="35">
        <v>3.3638679999999999E-5</v>
      </c>
      <c r="P36" s="36">
        <v>3.3093470000000002E-5</v>
      </c>
      <c r="Q36" s="35">
        <v>3.2486179999999999E-5</v>
      </c>
      <c r="R36" s="35">
        <v>3.1704469999999999E-5</v>
      </c>
      <c r="S36" s="35">
        <v>2.908621E-5</v>
      </c>
    </row>
    <row r="37" spans="1:19" x14ac:dyDescent="0.3">
      <c r="A37" s="150"/>
      <c r="B37" s="2" t="s">
        <v>15</v>
      </c>
      <c r="C37" s="1">
        <v>0.2395775</v>
      </c>
      <c r="D37" s="1">
        <v>0.2396972</v>
      </c>
      <c r="E37" s="1">
        <v>0.23982390000000001</v>
      </c>
      <c r="F37" s="1">
        <v>0.23997779999999999</v>
      </c>
      <c r="G37" s="1">
        <v>0.24010119999999999</v>
      </c>
      <c r="H37" s="1">
        <v>0.24072540000000001</v>
      </c>
      <c r="I37" s="1">
        <v>0.11527859999999999</v>
      </c>
      <c r="J37" s="1">
        <v>0.24281920000000001</v>
      </c>
      <c r="K37" s="1">
        <v>0.24436869999999999</v>
      </c>
      <c r="L37" s="1">
        <v>0.24611630000000001</v>
      </c>
      <c r="M37" s="1">
        <v>0.2479133</v>
      </c>
      <c r="N37" s="1">
        <v>0.2497346</v>
      </c>
      <c r="O37" s="1">
        <v>0.25167689999999998</v>
      </c>
      <c r="P37" s="32">
        <v>0.25368170000000001</v>
      </c>
      <c r="Q37" s="1">
        <v>0.25611010000000001</v>
      </c>
      <c r="R37" s="1">
        <v>0.25959710000000003</v>
      </c>
      <c r="S37" s="1">
        <v>0.27605849999999998</v>
      </c>
    </row>
    <row r="38" spans="1:19" x14ac:dyDescent="0.3">
      <c r="A38" s="150"/>
      <c r="B38" s="2" t="s">
        <v>0</v>
      </c>
      <c r="C38" s="35">
        <v>4.196283E-5</v>
      </c>
      <c r="D38" s="35">
        <v>4.176755E-5</v>
      </c>
      <c r="E38" s="35">
        <v>4.1607889999999998E-5</v>
      </c>
      <c r="F38" s="35">
        <v>4.1481019999999999E-5</v>
      </c>
      <c r="G38" s="35">
        <v>4.1355440000000003E-5</v>
      </c>
      <c r="H38" s="35">
        <v>4.1468509999999998E-5</v>
      </c>
      <c r="I38" s="35">
        <v>6.7445149999999999E-5</v>
      </c>
      <c r="J38" s="35">
        <v>4.2069179999999999E-5</v>
      </c>
      <c r="K38" s="35">
        <v>4.2608390000000003E-5</v>
      </c>
      <c r="L38" s="35">
        <v>4.3250429999999997E-5</v>
      </c>
      <c r="M38" s="35">
        <v>4.3917110000000001E-5</v>
      </c>
      <c r="N38" s="35">
        <v>4.4594120000000002E-5</v>
      </c>
      <c r="O38" s="35">
        <v>4.533802E-5</v>
      </c>
      <c r="P38" s="36">
        <v>4.6117179999999998E-5</v>
      </c>
      <c r="Q38" s="35">
        <v>4.7072379999999999E-5</v>
      </c>
      <c r="R38" s="35">
        <v>4.8461670000000002E-5</v>
      </c>
      <c r="S38" s="35">
        <v>5.5573450000000002E-5</v>
      </c>
    </row>
  </sheetData>
  <mergeCells count="2">
    <mergeCell ref="A25:A31"/>
    <mergeCell ref="A32:A38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8"/>
  <sheetViews>
    <sheetView topLeftCell="A16" zoomScale="60" zoomScaleNormal="60" workbookViewId="0">
      <selection activeCell="Y33" sqref="Y33:Y38"/>
    </sheetView>
  </sheetViews>
  <sheetFormatPr defaultRowHeight="15.6" x14ac:dyDescent="0.3"/>
  <cols>
    <col min="1" max="1" width="55.09765625" customWidth="1"/>
    <col min="2" max="2" width="21.796875" customWidth="1"/>
    <col min="25" max="25" width="8.796875" style="24"/>
  </cols>
  <sheetData>
    <row r="1" spans="1:28" x14ac:dyDescent="0.3">
      <c r="A1" s="61" t="s">
        <v>55</v>
      </c>
      <c r="B1" s="62" t="s">
        <v>8</v>
      </c>
      <c r="C1" s="64">
        <v>20</v>
      </c>
    </row>
    <row r="2" spans="1:28" x14ac:dyDescent="0.3">
      <c r="A2" s="3" t="s">
        <v>17</v>
      </c>
      <c r="B2" s="2" t="s">
        <v>1</v>
      </c>
      <c r="C2" s="2">
        <v>40</v>
      </c>
      <c r="D2" s="2">
        <v>40</v>
      </c>
      <c r="E2" s="2">
        <v>40</v>
      </c>
      <c r="F2" s="2">
        <v>40</v>
      </c>
      <c r="G2" s="2">
        <v>40</v>
      </c>
      <c r="H2" s="2">
        <v>40</v>
      </c>
      <c r="I2" s="2">
        <v>40</v>
      </c>
      <c r="J2" s="2">
        <v>40</v>
      </c>
      <c r="K2" s="2">
        <v>40</v>
      </c>
      <c r="L2" s="2">
        <v>40</v>
      </c>
      <c r="M2" s="2">
        <v>40</v>
      </c>
      <c r="N2" s="2">
        <v>40</v>
      </c>
      <c r="O2" s="2">
        <v>40</v>
      </c>
      <c r="P2" s="2">
        <v>40</v>
      </c>
      <c r="Q2" s="2">
        <v>40</v>
      </c>
      <c r="R2" s="2">
        <v>40</v>
      </c>
      <c r="S2" s="2">
        <v>40</v>
      </c>
      <c r="T2" s="2">
        <v>40</v>
      </c>
      <c r="U2" s="2">
        <v>40</v>
      </c>
      <c r="V2" s="2">
        <v>40</v>
      </c>
      <c r="W2" s="2">
        <v>40</v>
      </c>
      <c r="X2" s="2">
        <v>40</v>
      </c>
      <c r="Y2" s="25">
        <v>40</v>
      </c>
      <c r="Z2" s="2">
        <v>40</v>
      </c>
      <c r="AA2" s="2">
        <v>40</v>
      </c>
      <c r="AB2" s="2">
        <v>40</v>
      </c>
    </row>
    <row r="3" spans="1:28" x14ac:dyDescent="0.3">
      <c r="A3" s="3" t="s">
        <v>16</v>
      </c>
      <c r="B3" s="2" t="s">
        <v>2</v>
      </c>
      <c r="C3" s="2">
        <v>1.0129999999999999</v>
      </c>
      <c r="D3" s="2">
        <v>1.0129999999999999</v>
      </c>
      <c r="E3" s="2">
        <v>1.0129999999999999</v>
      </c>
      <c r="F3" s="2">
        <v>1.0129999999999999</v>
      </c>
      <c r="G3" s="2">
        <v>1.0129999999999999</v>
      </c>
      <c r="H3" s="2">
        <v>1.0129999999999999</v>
      </c>
      <c r="I3" s="2">
        <v>1.0129999999999999</v>
      </c>
      <c r="J3" s="2">
        <v>1.0129999999999999</v>
      </c>
      <c r="K3" s="2">
        <v>1.0129999999999999</v>
      </c>
      <c r="L3" s="2">
        <v>1.0129999999999999</v>
      </c>
      <c r="M3" s="2">
        <v>1.0129999999999999</v>
      </c>
      <c r="N3" s="2">
        <v>1.0129999999999999</v>
      </c>
      <c r="O3" s="2">
        <v>1.0129999999999999</v>
      </c>
      <c r="P3" s="2">
        <v>1.0129999999999999</v>
      </c>
      <c r="Q3" s="2">
        <v>1.0129999999999999</v>
      </c>
      <c r="R3" s="2">
        <v>1.0129999999999999</v>
      </c>
      <c r="S3" s="2">
        <v>1.0129999999999999</v>
      </c>
      <c r="T3" s="2">
        <v>1.0129999999999999</v>
      </c>
      <c r="U3" s="2">
        <v>1.0129999999999999</v>
      </c>
      <c r="V3" s="2">
        <v>1.0129999999999999</v>
      </c>
      <c r="W3" s="2">
        <v>1.0129999999999999</v>
      </c>
      <c r="X3" s="2">
        <v>1.0129999999999999</v>
      </c>
      <c r="Y3" s="25">
        <v>1.0129999999999999</v>
      </c>
      <c r="Z3" s="2">
        <v>1.0129999999999999</v>
      </c>
      <c r="AA3" s="2">
        <v>1.0129999999999999</v>
      </c>
      <c r="AB3" s="2">
        <v>1.0129999999999999</v>
      </c>
    </row>
    <row r="4" spans="1:28" x14ac:dyDescent="0.3">
      <c r="A4" s="3" t="s">
        <v>3</v>
      </c>
      <c r="B4" s="2" t="s">
        <v>1</v>
      </c>
      <c r="C4" s="2">
        <v>40</v>
      </c>
      <c r="D4" s="2">
        <v>40</v>
      </c>
      <c r="E4" s="2">
        <v>40</v>
      </c>
      <c r="F4" s="2">
        <v>40</v>
      </c>
      <c r="G4" s="2">
        <v>40</v>
      </c>
      <c r="H4" s="2">
        <v>40</v>
      </c>
      <c r="I4" s="2">
        <v>40</v>
      </c>
      <c r="J4" s="2">
        <v>40</v>
      </c>
      <c r="K4" s="2">
        <v>40</v>
      </c>
      <c r="L4" s="2">
        <v>40</v>
      </c>
      <c r="M4" s="2">
        <v>40</v>
      </c>
      <c r="N4" s="2">
        <v>40</v>
      </c>
      <c r="O4" s="2">
        <v>40</v>
      </c>
      <c r="P4" s="2">
        <v>40</v>
      </c>
      <c r="Q4" s="2">
        <v>40</v>
      </c>
      <c r="R4" s="2">
        <v>40</v>
      </c>
      <c r="S4" s="2">
        <v>40</v>
      </c>
      <c r="T4" s="2">
        <v>40</v>
      </c>
      <c r="U4" s="2">
        <v>40</v>
      </c>
      <c r="V4" s="2">
        <v>40</v>
      </c>
      <c r="W4" s="2">
        <v>40</v>
      </c>
      <c r="X4" s="2">
        <v>40</v>
      </c>
      <c r="Y4" s="25">
        <v>40</v>
      </c>
      <c r="Z4" s="2">
        <v>40</v>
      </c>
      <c r="AA4" s="2">
        <v>40</v>
      </c>
      <c r="AB4" s="2">
        <v>40</v>
      </c>
    </row>
    <row r="5" spans="1:28" x14ac:dyDescent="0.3">
      <c r="A5" s="3" t="s">
        <v>18</v>
      </c>
      <c r="B5" s="2" t="s">
        <v>2</v>
      </c>
      <c r="C5" s="2">
        <v>1.0129999999999999</v>
      </c>
      <c r="D5" s="2">
        <v>1.0129999999999999</v>
      </c>
      <c r="E5" s="2">
        <v>1.0129999999999999</v>
      </c>
      <c r="F5" s="2">
        <v>1.0129999999999999</v>
      </c>
      <c r="G5" s="2">
        <v>1.0129999999999999</v>
      </c>
      <c r="H5" s="2">
        <v>1.0129999999999999</v>
      </c>
      <c r="I5" s="2">
        <v>1.0129999999999999</v>
      </c>
      <c r="J5" s="2">
        <v>1.0129999999999999</v>
      </c>
      <c r="K5" s="2">
        <v>1.0129999999999999</v>
      </c>
      <c r="L5" s="2">
        <v>1.0129999999999999</v>
      </c>
      <c r="M5" s="2">
        <v>1.0129999999999999</v>
      </c>
      <c r="N5" s="2">
        <v>1.0129999999999999</v>
      </c>
      <c r="O5" s="2">
        <v>1.0129999999999999</v>
      </c>
      <c r="P5" s="2">
        <v>1.0129999999999999</v>
      </c>
      <c r="Q5" s="2">
        <v>1.0129999999999999</v>
      </c>
      <c r="R5" s="2">
        <v>1.0129999999999999</v>
      </c>
      <c r="S5" s="2">
        <v>1.0129999999999999</v>
      </c>
      <c r="T5" s="2">
        <v>1.0129999999999999</v>
      </c>
      <c r="U5" s="2">
        <v>1.0129999999999999</v>
      </c>
      <c r="V5" s="2">
        <v>1.0129999999999999</v>
      </c>
      <c r="W5" s="2">
        <v>1.0129999999999999</v>
      </c>
      <c r="X5" s="2">
        <v>1.0129999999999999</v>
      </c>
      <c r="Y5" s="25">
        <v>1.0129999999999999</v>
      </c>
      <c r="Z5" s="2">
        <v>1.0129999999999999</v>
      </c>
      <c r="AA5" s="2">
        <v>1.0129999999999999</v>
      </c>
      <c r="AB5" s="2">
        <v>1.0129999999999999</v>
      </c>
    </row>
    <row r="6" spans="1:28" x14ac:dyDescent="0.3">
      <c r="A6" s="3" t="s">
        <v>4</v>
      </c>
      <c r="B6" s="2" t="s">
        <v>5</v>
      </c>
      <c r="C6" s="5">
        <f>'MEA 30%'!$C$6</f>
        <v>5050.3680000000004</v>
      </c>
      <c r="D6" s="5">
        <f>'MEA 30%'!$C$6</f>
        <v>5050.3680000000004</v>
      </c>
      <c r="E6" s="5">
        <f>'MEA 30%'!$C$6</f>
        <v>5050.3680000000004</v>
      </c>
      <c r="F6" s="5">
        <f>'MEA 30%'!$C$6</f>
        <v>5050.3680000000004</v>
      </c>
      <c r="G6" s="5">
        <f>'MEA 30%'!$C$6</f>
        <v>5050.3680000000004</v>
      </c>
      <c r="H6" s="5">
        <f>'MEA 30%'!$C$6</f>
        <v>5050.3680000000004</v>
      </c>
      <c r="I6" s="5">
        <f>'MEA 30%'!$C$6</f>
        <v>5050.3680000000004</v>
      </c>
      <c r="J6" s="5">
        <f>'MEA 30%'!$C$6</f>
        <v>5050.3680000000004</v>
      </c>
      <c r="K6" s="5">
        <f>'MEA 30%'!$C$6</f>
        <v>5050.3680000000004</v>
      </c>
      <c r="L6" s="5">
        <f>'MEA 30%'!$C$6</f>
        <v>5050.3680000000004</v>
      </c>
      <c r="M6" s="5">
        <f>'MEA 30%'!$C$6</f>
        <v>5050.3680000000004</v>
      </c>
      <c r="N6" s="5">
        <f>'MEA 30%'!$C$6</f>
        <v>5050.3680000000004</v>
      </c>
      <c r="O6" s="5">
        <f>'MEA 30%'!$C$6</f>
        <v>5050.3680000000004</v>
      </c>
      <c r="P6" s="5">
        <f>'MEA 30%'!$C$6</f>
        <v>5050.3680000000004</v>
      </c>
      <c r="Q6" s="5">
        <f>'MEA 30%'!$C$6</f>
        <v>5050.3680000000004</v>
      </c>
      <c r="R6" s="5">
        <f>'MEA 30%'!$C$6</f>
        <v>5050.3680000000004</v>
      </c>
      <c r="S6" s="5">
        <f>'MEA 30%'!$C$6</f>
        <v>5050.3680000000004</v>
      </c>
      <c r="T6" s="5">
        <f>'MEA 30%'!$C$6</f>
        <v>5050.3680000000004</v>
      </c>
      <c r="U6" s="5">
        <f>'MEA 30%'!$C$6</f>
        <v>5050.3680000000004</v>
      </c>
      <c r="V6" s="5">
        <f>'MEA 30%'!$C$6</f>
        <v>5050.3680000000004</v>
      </c>
      <c r="W6" s="5">
        <f>'MEA 30%'!$C$6</f>
        <v>5050.3680000000004</v>
      </c>
      <c r="X6" s="5">
        <f>'MEA 30%'!$C$6</f>
        <v>5050.3680000000004</v>
      </c>
      <c r="Y6" s="26">
        <f>'MEA 30%'!$C$6</f>
        <v>5050.3680000000004</v>
      </c>
      <c r="Z6" s="5">
        <f>'MEA 30%'!$C$6</f>
        <v>5050.3680000000004</v>
      </c>
      <c r="AA6" s="5">
        <f>'MEA 30%'!$C$6</f>
        <v>5050.3680000000004</v>
      </c>
      <c r="AB6" s="5">
        <f>'MEA 30%'!$C$6</f>
        <v>5050.3680000000004</v>
      </c>
    </row>
    <row r="7" spans="1:28" x14ac:dyDescent="0.3">
      <c r="A7" s="6" t="s">
        <v>6</v>
      </c>
      <c r="B7" s="22" t="s">
        <v>5</v>
      </c>
      <c r="C7" s="31">
        <f>C6*C8</f>
        <v>2525.1840000000002</v>
      </c>
      <c r="D7" s="31">
        <f t="shared" ref="D7:R7" si="0">D6*D8</f>
        <v>3030.2208000000001</v>
      </c>
      <c r="E7" s="31">
        <f t="shared" si="0"/>
        <v>3535.2575999999999</v>
      </c>
      <c r="F7" s="31">
        <f t="shared" si="0"/>
        <v>4040.2944000000007</v>
      </c>
      <c r="G7" s="31">
        <f t="shared" si="0"/>
        <v>4545.3312000000005</v>
      </c>
      <c r="H7" s="31">
        <f t="shared" si="0"/>
        <v>5050.3680000000004</v>
      </c>
      <c r="I7" s="31">
        <f t="shared" si="0"/>
        <v>5555.4048000000012</v>
      </c>
      <c r="J7" s="31">
        <f t="shared" si="0"/>
        <v>6060.4416000000001</v>
      </c>
      <c r="K7" s="31">
        <f t="shared" si="0"/>
        <v>6565.4784000000009</v>
      </c>
      <c r="L7" s="31">
        <f t="shared" si="0"/>
        <v>7070.5151999999998</v>
      </c>
      <c r="M7" s="31">
        <f t="shared" si="0"/>
        <v>7575.5520000000006</v>
      </c>
      <c r="N7" s="31">
        <f t="shared" si="0"/>
        <v>8080.5888000000014</v>
      </c>
      <c r="O7" s="31">
        <f t="shared" si="0"/>
        <v>8585.6256000000012</v>
      </c>
      <c r="P7" s="31">
        <f t="shared" si="0"/>
        <v>9090.6624000000011</v>
      </c>
      <c r="Q7" s="31">
        <f t="shared" si="0"/>
        <v>9595.6992000000009</v>
      </c>
      <c r="R7" s="31">
        <f t="shared" si="0"/>
        <v>10100.736000000001</v>
      </c>
      <c r="S7" s="31">
        <f t="shared" ref="S7:AB7" si="1">S6*S8</f>
        <v>11110.809600000002</v>
      </c>
      <c r="T7" s="31">
        <f t="shared" si="1"/>
        <v>12120.8832</v>
      </c>
      <c r="U7" s="31">
        <f t="shared" si="1"/>
        <v>13130.956800000002</v>
      </c>
      <c r="V7" s="31">
        <f t="shared" si="1"/>
        <v>14141.0304</v>
      </c>
      <c r="W7" s="31">
        <f t="shared" si="1"/>
        <v>15151.104000000001</v>
      </c>
      <c r="X7" s="31">
        <f t="shared" si="1"/>
        <v>16161.177600000003</v>
      </c>
      <c r="Y7" s="32">
        <f t="shared" si="1"/>
        <v>17220.509999999998</v>
      </c>
      <c r="Z7" s="31">
        <f t="shared" si="1"/>
        <v>18181.324800000002</v>
      </c>
      <c r="AA7" s="31">
        <f t="shared" si="1"/>
        <v>19191.398400000002</v>
      </c>
      <c r="AB7" s="31">
        <f t="shared" si="1"/>
        <v>20201.472000000002</v>
      </c>
    </row>
    <row r="8" spans="1:28" x14ac:dyDescent="0.3">
      <c r="A8" s="3" t="s">
        <v>7</v>
      </c>
      <c r="B8" s="2" t="s">
        <v>29</v>
      </c>
      <c r="C8" s="29">
        <v>0.5</v>
      </c>
      <c r="D8" s="30">
        <v>0.6</v>
      </c>
      <c r="E8" s="29">
        <v>0.7</v>
      </c>
      <c r="F8" s="30">
        <v>0.8</v>
      </c>
      <c r="G8" s="29">
        <v>0.9</v>
      </c>
      <c r="H8" s="30">
        <v>1</v>
      </c>
      <c r="I8" s="29">
        <v>1.1000000000000001</v>
      </c>
      <c r="J8" s="30">
        <v>1.2</v>
      </c>
      <c r="K8" s="29">
        <v>1.3</v>
      </c>
      <c r="L8" s="30">
        <v>1.4</v>
      </c>
      <c r="M8" s="29">
        <v>1.5</v>
      </c>
      <c r="N8" s="30">
        <v>1.6</v>
      </c>
      <c r="O8" s="29">
        <v>1.7</v>
      </c>
      <c r="P8" s="30">
        <v>1.8</v>
      </c>
      <c r="Q8" s="29">
        <v>1.9</v>
      </c>
      <c r="R8" s="30">
        <v>2</v>
      </c>
      <c r="S8" s="29">
        <v>2.2000000000000002</v>
      </c>
      <c r="T8" s="30">
        <v>2.4</v>
      </c>
      <c r="U8" s="29">
        <v>2.6</v>
      </c>
      <c r="V8" s="30">
        <v>2.8</v>
      </c>
      <c r="W8" s="29">
        <v>3</v>
      </c>
      <c r="X8" s="30">
        <v>3.2</v>
      </c>
      <c r="Y8" s="25">
        <v>3.4097535070711671</v>
      </c>
      <c r="Z8" s="30">
        <v>3.6</v>
      </c>
      <c r="AA8" s="29">
        <v>3.8</v>
      </c>
      <c r="AB8" s="29">
        <v>4</v>
      </c>
    </row>
    <row r="9" spans="1:28" ht="18" x14ac:dyDescent="0.4">
      <c r="A9" s="3" t="s">
        <v>32</v>
      </c>
      <c r="B9" s="2" t="s">
        <v>5</v>
      </c>
      <c r="C9" s="1">
        <v>802.09379999999999</v>
      </c>
      <c r="D9" s="1">
        <v>802.09379999999999</v>
      </c>
      <c r="E9" s="1">
        <v>802.09379999999999</v>
      </c>
      <c r="F9" s="1">
        <v>802.09379999999999</v>
      </c>
      <c r="G9" s="1">
        <v>802.09379999999999</v>
      </c>
      <c r="H9" s="1">
        <v>802.09379999999999</v>
      </c>
      <c r="I9" s="1">
        <v>802.09379999999999</v>
      </c>
      <c r="J9" s="1">
        <v>802.09379999999999</v>
      </c>
      <c r="K9" s="1">
        <v>802.09379999999999</v>
      </c>
      <c r="L9" s="1">
        <v>802.09379999999999</v>
      </c>
      <c r="M9" s="1">
        <v>802.09379999999999</v>
      </c>
      <c r="N9" s="1">
        <v>802.09379999999999</v>
      </c>
      <c r="O9" s="1">
        <v>802.09379999999999</v>
      </c>
      <c r="P9" s="1">
        <v>802.09379999999999</v>
      </c>
      <c r="Q9" s="1">
        <v>802.09379999999999</v>
      </c>
      <c r="R9" s="1">
        <v>802.09379999999999</v>
      </c>
      <c r="S9" s="1">
        <v>802.09379999999999</v>
      </c>
      <c r="T9" s="1">
        <v>802.09379999999999</v>
      </c>
      <c r="U9" s="1">
        <v>802.09379999999999</v>
      </c>
      <c r="V9" s="1">
        <v>802.09379999999999</v>
      </c>
      <c r="W9" s="1">
        <v>802.09379999999999</v>
      </c>
      <c r="X9" s="1">
        <v>802.09379999999999</v>
      </c>
      <c r="Y9" s="32">
        <v>802.09379999999999</v>
      </c>
      <c r="Z9" s="1">
        <v>802.09379999999999</v>
      </c>
      <c r="AA9" s="1">
        <v>802.09379999999999</v>
      </c>
      <c r="AB9" s="1">
        <v>802.09379999999999</v>
      </c>
    </row>
    <row r="10" spans="1:28" ht="18" x14ac:dyDescent="0.4">
      <c r="A10" s="3" t="s">
        <v>33</v>
      </c>
      <c r="B10" s="2" t="s">
        <v>5</v>
      </c>
      <c r="C10" s="1">
        <v>666.44359999999995</v>
      </c>
      <c r="D10" s="1">
        <v>640.56240000000003</v>
      </c>
      <c r="E10" s="1">
        <v>615.30430000000001</v>
      </c>
      <c r="F10" s="1">
        <v>590.65089999999998</v>
      </c>
      <c r="G10" s="1">
        <v>566.58230000000003</v>
      </c>
      <c r="H10" s="1">
        <v>543.05089999999996</v>
      </c>
      <c r="I10" s="1">
        <v>520.0299</v>
      </c>
      <c r="J10" s="1">
        <v>497.4821</v>
      </c>
      <c r="K10" s="1">
        <v>475.37650000000002</v>
      </c>
      <c r="L10" s="1">
        <v>453.69119999999998</v>
      </c>
      <c r="M10" s="1">
        <v>432.40050000000002</v>
      </c>
      <c r="N10" s="1">
        <v>411.45359999999999</v>
      </c>
      <c r="O10" s="1">
        <v>390.86489999999998</v>
      </c>
      <c r="P10" s="1">
        <v>370.59769999999997</v>
      </c>
      <c r="Q10" s="1">
        <v>350.62889999999999</v>
      </c>
      <c r="R10" s="1">
        <v>330.96879999999999</v>
      </c>
      <c r="S10" s="1">
        <v>292.4307</v>
      </c>
      <c r="T10" s="1">
        <v>254.9254</v>
      </c>
      <c r="U10" s="1">
        <v>218.37989999999999</v>
      </c>
      <c r="V10" s="1">
        <v>182.72040000000001</v>
      </c>
      <c r="W10" s="1">
        <v>148.01499999999999</v>
      </c>
      <c r="X10" s="1">
        <v>114.301</v>
      </c>
      <c r="Y10" s="32">
        <v>80.186899999999994</v>
      </c>
      <c r="Z10" s="1">
        <v>50.81823</v>
      </c>
      <c r="AA10" s="1">
        <v>22.820170000000001</v>
      </c>
      <c r="AB10" s="1">
        <v>2.9079480000000002</v>
      </c>
    </row>
    <row r="11" spans="1:28" x14ac:dyDescent="0.3">
      <c r="A11" s="3" t="s">
        <v>49</v>
      </c>
      <c r="B11" s="2" t="s">
        <v>5</v>
      </c>
      <c r="C11" s="1">
        <v>135.65029999999999</v>
      </c>
      <c r="D11" s="1">
        <v>161.53139999999999</v>
      </c>
      <c r="E11" s="1">
        <v>186.7895</v>
      </c>
      <c r="F11" s="1">
        <v>211.44300000000001</v>
      </c>
      <c r="G11" s="1">
        <v>235.51150000000001</v>
      </c>
      <c r="H11" s="1">
        <v>259.04289999999997</v>
      </c>
      <c r="I11" s="1">
        <v>282.06400000000002</v>
      </c>
      <c r="J11" s="1">
        <v>304.61169999999998</v>
      </c>
      <c r="K11" s="1">
        <v>326.7174</v>
      </c>
      <c r="L11" s="1">
        <v>348.40260000000001</v>
      </c>
      <c r="M11" s="1">
        <v>369.6934</v>
      </c>
      <c r="N11" s="1">
        <v>390.64030000000002</v>
      </c>
      <c r="O11" s="1">
        <v>411.22890000000001</v>
      </c>
      <c r="P11" s="1">
        <v>431.49610000000001</v>
      </c>
      <c r="Q11" s="1">
        <v>451.46469999999999</v>
      </c>
      <c r="R11" s="1">
        <v>471.125</v>
      </c>
      <c r="S11" s="1">
        <v>509.66309999999999</v>
      </c>
      <c r="T11" s="1">
        <v>547.16840000000002</v>
      </c>
      <c r="U11" s="1">
        <v>583.71389999999997</v>
      </c>
      <c r="V11" s="1">
        <v>619.37350000000004</v>
      </c>
      <c r="W11" s="1">
        <v>654.0788</v>
      </c>
      <c r="X11" s="1">
        <v>687.79280000000006</v>
      </c>
      <c r="Y11" s="32">
        <v>721.90689999999995</v>
      </c>
      <c r="Z11" s="1">
        <v>751.2758</v>
      </c>
      <c r="AA11" s="1">
        <v>779.27359999999999</v>
      </c>
      <c r="AB11" s="1">
        <v>799.18589999999995</v>
      </c>
    </row>
    <row r="12" spans="1:28" ht="18" x14ac:dyDescent="0.4">
      <c r="A12" s="3" t="s">
        <v>19</v>
      </c>
      <c r="B12" s="2" t="s">
        <v>8</v>
      </c>
      <c r="C12" s="33">
        <f>(C9-C10)/C9*100</f>
        <v>16.91201203649748</v>
      </c>
      <c r="D12" s="33">
        <f t="shared" ref="D12:AB12" si="2">(D9-D10)/D9*100</f>
        <v>20.138716943080716</v>
      </c>
      <c r="E12" s="33">
        <f t="shared" si="2"/>
        <v>23.287737668586889</v>
      </c>
      <c r="F12" s="33">
        <f t="shared" si="2"/>
        <v>26.361368209054852</v>
      </c>
      <c r="G12" s="33">
        <f t="shared" si="2"/>
        <v>29.362089571070111</v>
      </c>
      <c r="H12" s="33">
        <f t="shared" si="2"/>
        <v>32.295836222646287</v>
      </c>
      <c r="I12" s="33">
        <f t="shared" si="2"/>
        <v>35.165949418883422</v>
      </c>
      <c r="J12" s="33">
        <f t="shared" si="2"/>
        <v>37.977067021338399</v>
      </c>
      <c r="K12" s="33">
        <f t="shared" si="2"/>
        <v>40.7330539146419</v>
      </c>
      <c r="L12" s="33">
        <f t="shared" si="2"/>
        <v>43.436640452774981</v>
      </c>
      <c r="M12" s="33">
        <f t="shared" si="2"/>
        <v>46.091030749770162</v>
      </c>
      <c r="N12" s="33">
        <f t="shared" si="2"/>
        <v>48.702558229473908</v>
      </c>
      <c r="O12" s="33">
        <f t="shared" si="2"/>
        <v>51.269427590638408</v>
      </c>
      <c r="P12" s="33">
        <f t="shared" si="2"/>
        <v>53.796214357971607</v>
      </c>
      <c r="Q12" s="33">
        <f t="shared" si="2"/>
        <v>56.285798493891861</v>
      </c>
      <c r="R12" s="33">
        <f t="shared" si="2"/>
        <v>58.73689585931222</v>
      </c>
      <c r="S12" s="33">
        <f t="shared" si="2"/>
        <v>63.541583291131289</v>
      </c>
      <c r="T12" s="33">
        <f t="shared" si="2"/>
        <v>68.217507727899161</v>
      </c>
      <c r="U12" s="33">
        <f t="shared" si="2"/>
        <v>72.773770349552635</v>
      </c>
      <c r="V12" s="33">
        <f t="shared" si="2"/>
        <v>77.219572074986729</v>
      </c>
      <c r="W12" s="33">
        <f t="shared" si="2"/>
        <v>81.546422625383713</v>
      </c>
      <c r="X12" s="33">
        <f t="shared" si="2"/>
        <v>85.749671671816927</v>
      </c>
      <c r="Y12" s="34">
        <f t="shared" si="2"/>
        <v>90.002802664725749</v>
      </c>
      <c r="Z12" s="33">
        <f t="shared" si="2"/>
        <v>93.664303352051846</v>
      </c>
      <c r="AA12" s="33">
        <f t="shared" si="2"/>
        <v>97.154925022484903</v>
      </c>
      <c r="AB12" s="33">
        <f t="shared" si="2"/>
        <v>99.637455369933036</v>
      </c>
    </row>
    <row r="13" spans="1:28" x14ac:dyDescent="0.3">
      <c r="A13" s="3" t="s">
        <v>20</v>
      </c>
      <c r="B13" s="2" t="s">
        <v>1</v>
      </c>
      <c r="C13" s="1">
        <v>37.087800000000001</v>
      </c>
      <c r="D13" s="1">
        <v>39.330300000000001</v>
      </c>
      <c r="E13" s="1">
        <v>41.195770000000003</v>
      </c>
      <c r="F13" s="1">
        <v>42.768140000000002</v>
      </c>
      <c r="G13" s="1">
        <v>44.106569999999998</v>
      </c>
      <c r="H13" s="1">
        <v>45.258099999999999</v>
      </c>
      <c r="I13" s="1">
        <v>46.256979999999999</v>
      </c>
      <c r="J13" s="1">
        <v>47.127540000000003</v>
      </c>
      <c r="K13" s="1">
        <v>47.890680000000003</v>
      </c>
      <c r="L13" s="1">
        <v>48.562269999999998</v>
      </c>
      <c r="M13" s="1">
        <v>49.15448</v>
      </c>
      <c r="N13" s="1">
        <v>49.6783</v>
      </c>
      <c r="O13" s="1">
        <v>50.141120000000001</v>
      </c>
      <c r="P13" s="1">
        <v>50.550089999999997</v>
      </c>
      <c r="Q13" s="1">
        <v>50.911079999999998</v>
      </c>
      <c r="R13" s="1">
        <v>51.228630000000003</v>
      </c>
      <c r="S13" s="1">
        <v>51.747489999999999</v>
      </c>
      <c r="T13" s="1">
        <v>52.130519999999997</v>
      </c>
      <c r="U13" s="1">
        <v>52.392910000000001</v>
      </c>
      <c r="V13" s="1">
        <v>52.544269999999997</v>
      </c>
      <c r="W13" s="1">
        <v>52.58229</v>
      </c>
      <c r="X13" s="1">
        <v>52.49982</v>
      </c>
      <c r="Y13" s="32">
        <v>52.25253</v>
      </c>
      <c r="Z13" s="1">
        <v>51.821480000000001</v>
      </c>
      <c r="AA13" s="1">
        <v>50.96116</v>
      </c>
      <c r="AB13" s="1">
        <v>48.883519999999997</v>
      </c>
    </row>
    <row r="14" spans="1:28" ht="18" x14ac:dyDescent="0.4">
      <c r="A14" s="3" t="s">
        <v>21</v>
      </c>
      <c r="B14" s="2" t="s">
        <v>1</v>
      </c>
      <c r="C14" s="1">
        <v>17.643630000000002</v>
      </c>
      <c r="D14" s="1">
        <v>18.82845</v>
      </c>
      <c r="E14" s="1">
        <v>20.10378</v>
      </c>
      <c r="F14" s="1">
        <v>21.405290000000001</v>
      </c>
      <c r="G14" s="1">
        <v>22.694050000000001</v>
      </c>
      <c r="H14" s="1">
        <v>23.947299999999998</v>
      </c>
      <c r="I14" s="1">
        <v>25.153220000000001</v>
      </c>
      <c r="J14" s="1">
        <v>26.308140000000002</v>
      </c>
      <c r="K14" s="1">
        <v>27.410779999999999</v>
      </c>
      <c r="L14" s="1">
        <v>28.460070000000002</v>
      </c>
      <c r="M14" s="1">
        <v>29.458909999999999</v>
      </c>
      <c r="N14" s="1">
        <v>30.41086</v>
      </c>
      <c r="O14" s="1">
        <v>31.316140000000001</v>
      </c>
      <c r="P14" s="1">
        <v>32.179450000000003</v>
      </c>
      <c r="Q14" s="1">
        <v>33.002479999999998</v>
      </c>
      <c r="R14" s="1">
        <v>33.788139999999999</v>
      </c>
      <c r="S14" s="1">
        <v>35.25864</v>
      </c>
      <c r="T14" s="1">
        <v>36.608600000000003</v>
      </c>
      <c r="U14" s="1">
        <v>37.855930000000001</v>
      </c>
      <c r="V14" s="1">
        <v>39.018549999999998</v>
      </c>
      <c r="W14" s="1">
        <v>40.111620000000002</v>
      </c>
      <c r="X14" s="1">
        <v>41.154200000000003</v>
      </c>
      <c r="Y14" s="32">
        <v>42.222250000000003</v>
      </c>
      <c r="Z14" s="1">
        <v>43.205390000000001</v>
      </c>
      <c r="AA14" s="1">
        <v>44.351289999999999</v>
      </c>
      <c r="AB14" s="1">
        <v>45.951090000000001</v>
      </c>
    </row>
    <row r="15" spans="1:28" x14ac:dyDescent="0.3">
      <c r="A15" s="3" t="s">
        <v>57</v>
      </c>
      <c r="B15" s="2" t="s">
        <v>5</v>
      </c>
      <c r="C15" s="1">
        <v>3.8877360000000001E-4</v>
      </c>
      <c r="D15" s="1">
        <v>5.4651950000000004E-4</v>
      </c>
      <c r="E15" s="1">
        <v>7.2400030000000003E-4</v>
      </c>
      <c r="F15" s="1">
        <v>9.1634590000000003E-4</v>
      </c>
      <c r="G15" s="1">
        <v>1.1193889999999999E-3</v>
      </c>
      <c r="H15" s="1">
        <v>1.3297090000000001E-3</v>
      </c>
      <c r="I15" s="1">
        <v>1.5444670000000001E-3</v>
      </c>
      <c r="J15" s="1">
        <v>1.760733E-3</v>
      </c>
      <c r="K15" s="1">
        <v>1.9772090000000002E-3</v>
      </c>
      <c r="L15" s="1">
        <v>2.1917260000000002E-3</v>
      </c>
      <c r="M15" s="1">
        <v>2.402979E-3</v>
      </c>
      <c r="N15" s="1">
        <v>2.6103329999999998E-3</v>
      </c>
      <c r="O15" s="1">
        <v>2.8125730000000001E-3</v>
      </c>
      <c r="P15" s="1">
        <v>3.0092830000000002E-3</v>
      </c>
      <c r="Q15" s="1">
        <v>3.2000969999999998E-3</v>
      </c>
      <c r="R15" s="1">
        <v>3.3846620000000001E-3</v>
      </c>
      <c r="S15" s="1">
        <v>3.7342450000000002E-3</v>
      </c>
      <c r="T15" s="1">
        <v>4.0577449999999998E-3</v>
      </c>
      <c r="U15" s="1">
        <v>4.3560250000000003E-3</v>
      </c>
      <c r="V15" s="1">
        <v>4.6304720000000001E-3</v>
      </c>
      <c r="W15" s="1">
        <v>4.8855390000000004E-3</v>
      </c>
      <c r="X15" s="1">
        <v>5.1216860000000003E-3</v>
      </c>
      <c r="Y15" s="32">
        <v>5.3533189999999996E-3</v>
      </c>
      <c r="Z15" s="1">
        <v>5.5495099999999997E-3</v>
      </c>
      <c r="AA15" s="1">
        <v>5.7228319999999997E-3</v>
      </c>
      <c r="AB15" s="1">
        <v>5.6429180000000002E-3</v>
      </c>
    </row>
    <row r="16" spans="1:28" ht="18" x14ac:dyDescent="0.4">
      <c r="A16" s="3" t="s">
        <v>22</v>
      </c>
      <c r="B16" s="2" t="s">
        <v>56</v>
      </c>
      <c r="C16" s="1">
        <f>3082.261/4803.603</f>
        <v>0.64165606524935548</v>
      </c>
      <c r="D16" s="1">
        <f>3670.333/5764.322</f>
        <v>0.63673281957531169</v>
      </c>
      <c r="E16" s="1">
        <f>4244.251/6725.042</f>
        <v>0.63111144882069137</v>
      </c>
      <c r="F16" s="1">
        <f>4804.431/7685.761</f>
        <v>0.62510804070019865</v>
      </c>
      <c r="G16" s="1">
        <f>5351.318/8646.481</f>
        <v>0.6189012616809082</v>
      </c>
      <c r="H16" s="1">
        <f>5886.002/9607.201</f>
        <v>0.61266564528003531</v>
      </c>
      <c r="I16" s="1">
        <f>6.409089/10.56792</f>
        <v>0.60646645697545021</v>
      </c>
      <c r="J16" s="1">
        <f>6921.42/11528.64</f>
        <v>0.60036743275876425</v>
      </c>
      <c r="K16" s="1">
        <f>7423.708/12489.36</f>
        <v>0.59440259548928043</v>
      </c>
      <c r="L16" s="1">
        <f>7916.442/13450.08</f>
        <v>0.5885795474822455</v>
      </c>
      <c r="M16" s="1">
        <f>8400.214/14410.8</f>
        <v>0.58291101118605493</v>
      </c>
      <c r="N16" s="1">
        <f>8876.172/15371.51</f>
        <v>0.57744307488333935</v>
      </c>
      <c r="O16" s="1">
        <f>9343.988/16332.24</f>
        <v>0.57211919491753727</v>
      </c>
      <c r="P16" s="1">
        <f>9804.501/17292.95</f>
        <v>0.56696520836525865</v>
      </c>
      <c r="Q16" s="1">
        <f>10258.23/18253.67</f>
        <v>0.56198178229364293</v>
      </c>
      <c r="R16" s="1">
        <f>10704.95/19214.4</f>
        <v>0.55713163044383374</v>
      </c>
      <c r="S16" s="1">
        <f>11580.62/21135.83</f>
        <v>0.54791413443427583</v>
      </c>
      <c r="T16" s="1">
        <f>12432.82/23057.27</f>
        <v>0.53921474658535029</v>
      </c>
      <c r="U16" s="1">
        <f>13263.21/24978.71</f>
        <v>0.53098058306453777</v>
      </c>
      <c r="V16" s="1">
        <f>14073.47/26900.15</f>
        <v>0.52317440609067234</v>
      </c>
      <c r="W16" s="1">
        <f>14862.05/28821.59</f>
        <v>0.51565683919589445</v>
      </c>
      <c r="X16" s="1">
        <f>15628.1/30743.03</f>
        <v>0.50834611942934715</v>
      </c>
      <c r="Y16" s="32">
        <f>16403.25/32758.17</f>
        <v>0.50073767856995677</v>
      </c>
      <c r="Z16" s="1">
        <f>17070.57/34585.91</f>
        <v>0.4935700694300077</v>
      </c>
      <c r="AA16" s="1">
        <f>17706.74/36507.36</f>
        <v>0.48501836342041715</v>
      </c>
      <c r="AB16" s="1">
        <f>18159.19/38428.8</f>
        <v>0.47254116704138555</v>
      </c>
    </row>
    <row r="17" spans="1:28" ht="18" x14ac:dyDescent="0.4">
      <c r="A17" s="3" t="s">
        <v>23</v>
      </c>
      <c r="B17" s="2" t="s">
        <v>1</v>
      </c>
      <c r="C17" s="1">
        <v>65</v>
      </c>
      <c r="D17" s="1">
        <v>65</v>
      </c>
      <c r="E17" s="1">
        <v>65</v>
      </c>
      <c r="F17" s="1">
        <v>65</v>
      </c>
      <c r="G17" s="1">
        <v>65</v>
      </c>
      <c r="H17" s="1">
        <v>65</v>
      </c>
      <c r="I17" s="1">
        <v>65</v>
      </c>
      <c r="J17" s="1">
        <v>65</v>
      </c>
      <c r="K17" s="1">
        <v>65</v>
      </c>
      <c r="L17" s="1">
        <v>65</v>
      </c>
      <c r="M17" s="1">
        <v>65</v>
      </c>
      <c r="N17" s="1">
        <v>65</v>
      </c>
      <c r="O17" s="1">
        <v>65</v>
      </c>
      <c r="P17" s="1">
        <v>65</v>
      </c>
      <c r="Q17" s="1">
        <v>65</v>
      </c>
      <c r="R17" s="1">
        <v>65</v>
      </c>
      <c r="S17" s="1">
        <v>65</v>
      </c>
      <c r="T17" s="1">
        <v>65</v>
      </c>
      <c r="U17" s="1">
        <v>65</v>
      </c>
      <c r="V17" s="1">
        <v>65</v>
      </c>
      <c r="W17" s="1">
        <v>65</v>
      </c>
      <c r="X17" s="1">
        <v>65</v>
      </c>
      <c r="Y17" s="32">
        <v>65</v>
      </c>
      <c r="Z17" s="1">
        <v>65</v>
      </c>
      <c r="AA17" s="1">
        <v>65</v>
      </c>
      <c r="AB17" s="40">
        <v>65</v>
      </c>
    </row>
    <row r="18" spans="1:28" ht="18" x14ac:dyDescent="0.4">
      <c r="A18" s="3" t="s">
        <v>24</v>
      </c>
      <c r="B18" s="2" t="s">
        <v>56</v>
      </c>
      <c r="C18" s="1">
        <f>1008.756/4803.602</f>
        <v>0.20999991256561223</v>
      </c>
      <c r="D18" s="1">
        <f>1210.507/5764.321</f>
        <v>0.20999992887280219</v>
      </c>
      <c r="E18" s="1">
        <f>1412.259/6725.041</f>
        <v>0.2100000579922115</v>
      </c>
      <c r="F18" s="1">
        <f>1614.01/7685.759</f>
        <v>0.21000007936756798</v>
      </c>
      <c r="G18" s="1">
        <f>1815.761/8646.479</f>
        <v>0.2100000474181456</v>
      </c>
      <c r="H18" s="1">
        <f>2017.512/9607.199</f>
        <v>0.2100000218586083</v>
      </c>
      <c r="I18" s="1">
        <f>2219.262/10567.92</f>
        <v>0.20999988644879977</v>
      </c>
      <c r="J18" s="1">
        <f>2421.013/11528.64</f>
        <v>0.20999987856329974</v>
      </c>
      <c r="K18" s="1">
        <f>2622.764/12489.36</f>
        <v>0.20999987189095359</v>
      </c>
      <c r="L18" s="1">
        <f>2824.515/13450.07</f>
        <v>0.21000002230471662</v>
      </c>
      <c r="M18" s="1">
        <f>3026.267/14410.79</f>
        <v>0.2100000763316931</v>
      </c>
      <c r="N18" s="1">
        <f>3228.016/15371.51</f>
        <v>0.20999992843904081</v>
      </c>
      <c r="O18" s="1">
        <f>3429.769/16332.23</f>
        <v>0.21000004286003809</v>
      </c>
      <c r="P18" s="1">
        <f>3631.52/17292.95</f>
        <v>0.21000002891351677</v>
      </c>
      <c r="Q18" s="1">
        <f>3833.271/18253.67</f>
        <v>0.21000001643505117</v>
      </c>
      <c r="R18" s="1">
        <f>4035.022/19214.39</f>
        <v>0.21000000520443271</v>
      </c>
      <c r="S18" s="1">
        <f>4438.524/21135.83</f>
        <v>0.20999998580609325</v>
      </c>
      <c r="T18" s="1">
        <f>4842.026/23057.27</f>
        <v>0.20999996964081175</v>
      </c>
      <c r="U18" s="1">
        <f>5245.528/24978.71</f>
        <v>0.20999995596249768</v>
      </c>
      <c r="V18" s="1">
        <f>5649.03/26900.15</f>
        <v>0.20999994423822912</v>
      </c>
      <c r="W18" s="1">
        <f>6052.532/28821.59</f>
        <v>0.209999934077197</v>
      </c>
      <c r="X18" s="1">
        <f>6456.034/30743.03</f>
        <v>0.20999992518629426</v>
      </c>
      <c r="Y18" s="32">
        <f>6878.417/32754.36</f>
        <v>0.21000004274240133</v>
      </c>
      <c r="Z18" s="1">
        <f>7263.04/34585.91</f>
        <v>0.20999996819514072</v>
      </c>
      <c r="AA18" s="1">
        <f>7666.543/36507.35</f>
        <v>0.20999998630412781</v>
      </c>
      <c r="AB18" s="1">
        <f>8070.046/38428.79</f>
        <v>0.21000000260221569</v>
      </c>
    </row>
    <row r="19" spans="1:28" x14ac:dyDescent="0.3">
      <c r="A19" s="3" t="s">
        <v>25</v>
      </c>
      <c r="B19" s="2" t="s">
        <v>10</v>
      </c>
      <c r="C19" s="30">
        <v>577.47199999999998</v>
      </c>
      <c r="D19" s="30">
        <v>695.78700000000003</v>
      </c>
      <c r="E19" s="30">
        <v>814.54899999999998</v>
      </c>
      <c r="F19" s="30">
        <v>933.77</v>
      </c>
      <c r="G19" s="30">
        <v>1053.44</v>
      </c>
      <c r="H19" s="30">
        <v>1173.48</v>
      </c>
      <c r="I19" s="30">
        <v>1293.95</v>
      </c>
      <c r="J19" s="30">
        <v>1414.71</v>
      </c>
      <c r="K19" s="30">
        <v>1535.79</v>
      </c>
      <c r="L19" s="30">
        <v>1657.11</v>
      </c>
      <c r="M19" s="30">
        <v>1778.66</v>
      </c>
      <c r="N19" s="30">
        <v>1900.4</v>
      </c>
      <c r="O19" s="30">
        <v>2022.21</v>
      </c>
      <c r="P19" s="30">
        <v>2143.9299999999998</v>
      </c>
      <c r="Q19" s="30">
        <v>2265.21</v>
      </c>
      <c r="R19" s="30">
        <v>2385.29</v>
      </c>
      <c r="S19" s="30">
        <v>2620.38</v>
      </c>
      <c r="T19" s="30">
        <v>2851.72</v>
      </c>
      <c r="U19" s="30">
        <v>3081.28</v>
      </c>
      <c r="V19" s="30">
        <v>3309.56</v>
      </c>
      <c r="W19" s="30">
        <v>3536.66</v>
      </c>
      <c r="X19" s="30">
        <v>3762.55</v>
      </c>
      <c r="Y19" s="32">
        <v>3997.83</v>
      </c>
      <c r="Z19" s="30">
        <v>4209.4399999999996</v>
      </c>
      <c r="AA19" s="30">
        <v>4428.5</v>
      </c>
      <c r="AB19" s="30">
        <v>4637.9399999999996</v>
      </c>
    </row>
    <row r="20" spans="1:28" ht="18" x14ac:dyDescent="0.4">
      <c r="A20" s="3" t="s">
        <v>26</v>
      </c>
      <c r="B20" s="2" t="s">
        <v>1</v>
      </c>
      <c r="C20" s="1">
        <v>113.0692</v>
      </c>
      <c r="D20" s="1">
        <v>113.0767</v>
      </c>
      <c r="E20" s="1">
        <v>113.0831</v>
      </c>
      <c r="F20" s="1">
        <v>113.08880000000001</v>
      </c>
      <c r="G20" s="1">
        <v>113.09480000000001</v>
      </c>
      <c r="H20" s="1">
        <v>113.0994</v>
      </c>
      <c r="I20" s="1">
        <v>113.1057</v>
      </c>
      <c r="J20" s="1">
        <v>113.11</v>
      </c>
      <c r="K20" s="1">
        <v>113.114</v>
      </c>
      <c r="L20" s="1">
        <v>113.1178</v>
      </c>
      <c r="M20" s="1">
        <v>113.12139999999999</v>
      </c>
      <c r="N20" s="1">
        <v>113.1247</v>
      </c>
      <c r="O20" s="1">
        <v>113.1279</v>
      </c>
      <c r="P20" s="1">
        <v>113.131</v>
      </c>
      <c r="Q20" s="1">
        <v>113.1339</v>
      </c>
      <c r="R20" s="1">
        <v>113.1367</v>
      </c>
      <c r="S20" s="1">
        <v>113.1418</v>
      </c>
      <c r="T20" s="1">
        <v>113.14660000000001</v>
      </c>
      <c r="U20" s="1">
        <v>113.1511</v>
      </c>
      <c r="V20" s="1">
        <v>113.1551</v>
      </c>
      <c r="W20" s="1">
        <v>113.1605</v>
      </c>
      <c r="X20" s="1">
        <v>113.1648</v>
      </c>
      <c r="Y20" s="32">
        <v>113.16800000000001</v>
      </c>
      <c r="Z20" s="1">
        <v>113.1721</v>
      </c>
      <c r="AA20" s="1">
        <v>113.17659999999999</v>
      </c>
      <c r="AB20" s="1">
        <v>113.1825</v>
      </c>
    </row>
    <row r="21" spans="1:28" x14ac:dyDescent="0.3">
      <c r="A21" s="3" t="s">
        <v>58</v>
      </c>
      <c r="B21" s="2" t="s">
        <v>5</v>
      </c>
      <c r="C21" s="1">
        <v>1.053093E-4</v>
      </c>
      <c r="D21" s="1">
        <v>1.2422320000000001E-4</v>
      </c>
      <c r="E21" s="1">
        <v>1.4230039999999999E-4</v>
      </c>
      <c r="F21" s="1">
        <v>1.596092E-4</v>
      </c>
      <c r="G21" s="1">
        <v>1.7621029999999999E-4</v>
      </c>
      <c r="H21" s="1">
        <v>1.9210049999999999E-4</v>
      </c>
      <c r="I21" s="1">
        <v>2.0739399999999999E-4</v>
      </c>
      <c r="J21" s="1">
        <v>2.2209310000000001E-4</v>
      </c>
      <c r="K21" s="1">
        <v>2.3630090000000001E-4</v>
      </c>
      <c r="L21" s="1">
        <v>2.4996339999999999E-4</v>
      </c>
      <c r="M21" s="1">
        <v>2.6327399999999997E-4</v>
      </c>
      <c r="N21" s="1">
        <v>2.7623680000000002E-4</v>
      </c>
      <c r="O21" s="1">
        <v>2.889659E-4</v>
      </c>
      <c r="P21" s="1">
        <v>3.0158989999999998E-4</v>
      </c>
      <c r="Q21" s="1">
        <v>3.1452150000000001E-4</v>
      </c>
      <c r="R21" s="1">
        <v>3.2847099999999999E-4</v>
      </c>
      <c r="S21" s="1">
        <v>3.6069660000000002E-4</v>
      </c>
      <c r="T21" s="1">
        <v>3.9574070000000002E-4</v>
      </c>
      <c r="U21" s="1">
        <v>4.315915E-4</v>
      </c>
      <c r="V21" s="1">
        <v>4.6782699999999998E-4</v>
      </c>
      <c r="W21" s="1">
        <v>5.0418269999999996E-4</v>
      </c>
      <c r="X21" s="1">
        <v>5.4074090000000004E-4</v>
      </c>
      <c r="Y21" s="32">
        <v>5.7919380000000004E-4</v>
      </c>
      <c r="Z21" s="1">
        <v>6.1421030000000001E-4</v>
      </c>
      <c r="AA21" s="1">
        <v>6.5123449999999995E-4</v>
      </c>
      <c r="AB21" s="1">
        <v>6.8905799999999999E-4</v>
      </c>
    </row>
    <row r="22" spans="1:28" x14ac:dyDescent="0.3">
      <c r="A22" s="3" t="s">
        <v>59</v>
      </c>
      <c r="B22" s="2" t="s">
        <v>5</v>
      </c>
      <c r="C22" s="1">
        <f>C21+C15</f>
        <v>4.9408290000000005E-4</v>
      </c>
      <c r="D22" s="1">
        <f t="shared" ref="D22:R22" si="3">D21+D15</f>
        <v>6.7074270000000002E-4</v>
      </c>
      <c r="E22" s="1">
        <f t="shared" si="3"/>
        <v>8.6630069999999999E-4</v>
      </c>
      <c r="F22" s="1">
        <f t="shared" si="3"/>
        <v>1.0759551E-3</v>
      </c>
      <c r="G22" s="1">
        <f t="shared" si="3"/>
        <v>1.2955992999999998E-3</v>
      </c>
      <c r="H22" s="1">
        <f t="shared" si="3"/>
        <v>1.5218095E-3</v>
      </c>
      <c r="I22" s="1">
        <f t="shared" si="3"/>
        <v>1.7518610000000002E-3</v>
      </c>
      <c r="J22" s="1">
        <f t="shared" si="3"/>
        <v>1.9828261000000001E-3</v>
      </c>
      <c r="K22" s="1">
        <f t="shared" si="3"/>
        <v>2.2135099000000001E-3</v>
      </c>
      <c r="L22" s="1">
        <f t="shared" si="3"/>
        <v>2.4416894000000001E-3</v>
      </c>
      <c r="M22" s="1">
        <f t="shared" si="3"/>
        <v>2.6662529999999999E-3</v>
      </c>
      <c r="N22" s="1">
        <f t="shared" si="3"/>
        <v>2.8865697999999997E-3</v>
      </c>
      <c r="O22" s="1">
        <f t="shared" si="3"/>
        <v>3.1015388999999999E-3</v>
      </c>
      <c r="P22" s="1">
        <f t="shared" si="3"/>
        <v>3.3108729000000002E-3</v>
      </c>
      <c r="Q22" s="1">
        <f t="shared" si="3"/>
        <v>3.5146184999999999E-3</v>
      </c>
      <c r="R22" s="1">
        <f t="shared" si="3"/>
        <v>3.713133E-3</v>
      </c>
      <c r="S22" s="1">
        <f t="shared" ref="S22:AB22" si="4">S21+S15</f>
        <v>4.0949416000000006E-3</v>
      </c>
      <c r="T22" s="1">
        <f t="shared" si="4"/>
        <v>4.4534856999999999E-3</v>
      </c>
      <c r="U22" s="1">
        <f t="shared" si="4"/>
        <v>4.7876165000000004E-3</v>
      </c>
      <c r="V22" s="1">
        <f t="shared" si="4"/>
        <v>5.0982989999999997E-3</v>
      </c>
      <c r="W22" s="1">
        <f t="shared" si="4"/>
        <v>5.3897217000000008E-3</v>
      </c>
      <c r="X22" s="1">
        <f t="shared" si="4"/>
        <v>5.6624269000000007E-3</v>
      </c>
      <c r="Y22" s="32">
        <f t="shared" si="4"/>
        <v>5.9325127999999994E-3</v>
      </c>
      <c r="Z22" s="1">
        <f t="shared" si="4"/>
        <v>6.1637202999999998E-3</v>
      </c>
      <c r="AA22" s="1">
        <f t="shared" si="4"/>
        <v>6.3740665E-3</v>
      </c>
      <c r="AB22" s="1">
        <f t="shared" si="4"/>
        <v>6.3319760000000004E-3</v>
      </c>
    </row>
    <row r="23" spans="1:28" x14ac:dyDescent="0.3">
      <c r="A23" s="3" t="s">
        <v>60</v>
      </c>
      <c r="B23" s="2" t="s">
        <v>52</v>
      </c>
      <c r="C23" s="1">
        <f>C22/C11*1000</f>
        <v>3.6423281039555393E-3</v>
      </c>
      <c r="D23" s="1">
        <f t="shared" ref="D23:R23" si="5">D22/D11*1000</f>
        <v>4.1523982334084894E-3</v>
      </c>
      <c r="E23" s="1">
        <f t="shared" si="5"/>
        <v>4.6378447396668437E-3</v>
      </c>
      <c r="F23" s="1">
        <f t="shared" si="5"/>
        <v>5.0886295597395038E-3</v>
      </c>
      <c r="G23" s="1">
        <f t="shared" si="5"/>
        <v>5.5012145903703211E-3</v>
      </c>
      <c r="H23" s="1">
        <f t="shared" si="5"/>
        <v>5.8747392806365283E-3</v>
      </c>
      <c r="I23" s="1">
        <f t="shared" si="5"/>
        <v>6.2108634919734538E-3</v>
      </c>
      <c r="J23" s="1">
        <f t="shared" si="5"/>
        <v>6.509356337921361E-3</v>
      </c>
      <c r="K23" s="1">
        <f t="shared" si="5"/>
        <v>6.7749985155366689E-3</v>
      </c>
      <c r="L23" s="1">
        <f t="shared" si="5"/>
        <v>7.0082410406810975E-3</v>
      </c>
      <c r="M23" s="1">
        <f t="shared" si="5"/>
        <v>7.2120654574844992E-3</v>
      </c>
      <c r="N23" s="1">
        <f t="shared" si="5"/>
        <v>7.3893292627514352E-3</v>
      </c>
      <c r="O23" s="1">
        <f t="shared" si="5"/>
        <v>7.5421228906820507E-3</v>
      </c>
      <c r="P23" s="1">
        <f t="shared" si="5"/>
        <v>7.6730077050522595E-3</v>
      </c>
      <c r="Q23" s="1">
        <f t="shared" si="5"/>
        <v>7.7849242698266327E-3</v>
      </c>
      <c r="R23" s="1">
        <f t="shared" si="5"/>
        <v>7.8814178827275143E-3</v>
      </c>
      <c r="S23" s="1">
        <f t="shared" ref="S23:AB23" si="6">S22/S11*1000</f>
        <v>8.0346048203215042E-3</v>
      </c>
      <c r="T23" s="1">
        <f t="shared" si="6"/>
        <v>8.1391500313249075E-3</v>
      </c>
      <c r="U23" s="1">
        <f t="shared" si="6"/>
        <v>8.2019915921138775E-3</v>
      </c>
      <c r="V23" s="1">
        <f t="shared" si="6"/>
        <v>8.2313805805382355E-3</v>
      </c>
      <c r="W23" s="1">
        <f t="shared" si="6"/>
        <v>8.2401718263915603E-3</v>
      </c>
      <c r="X23" s="1">
        <f t="shared" si="6"/>
        <v>8.2327510552596649E-3</v>
      </c>
      <c r="Y23" s="32">
        <f t="shared" si="6"/>
        <v>8.2178363996797919E-3</v>
      </c>
      <c r="Z23" s="1">
        <f t="shared" si="6"/>
        <v>8.2043376081061027E-3</v>
      </c>
      <c r="AA23" s="1">
        <f t="shared" si="6"/>
        <v>8.1794975474595837E-3</v>
      </c>
      <c r="AB23" s="1">
        <f t="shared" si="6"/>
        <v>7.923032676127045E-3</v>
      </c>
    </row>
    <row r="24" spans="1:28" x14ac:dyDescent="0.3">
      <c r="A24" s="3" t="s">
        <v>34</v>
      </c>
      <c r="B24" s="2" t="s">
        <v>28</v>
      </c>
      <c r="C24" s="1">
        <f>C19/C11</f>
        <v>4.2570639357229583</v>
      </c>
      <c r="D24" s="1">
        <f t="shared" ref="D24:AB24" si="7">D19/D11</f>
        <v>4.3074411538561543</v>
      </c>
      <c r="E24" s="1">
        <f t="shared" si="7"/>
        <v>4.3607858043412504</v>
      </c>
      <c r="F24" s="1">
        <f t="shared" si="7"/>
        <v>4.416178355396017</v>
      </c>
      <c r="G24" s="1">
        <f t="shared" si="7"/>
        <v>4.4729875186562014</v>
      </c>
      <c r="H24" s="1">
        <f t="shared" si="7"/>
        <v>4.5300604648882485</v>
      </c>
      <c r="I24" s="1">
        <f t="shared" si="7"/>
        <v>4.5874340575188608</v>
      </c>
      <c r="J24" s="1">
        <f t="shared" si="7"/>
        <v>4.6443061773398728</v>
      </c>
      <c r="K24" s="1">
        <f t="shared" si="7"/>
        <v>4.7006679166766139</v>
      </c>
      <c r="L24" s="1">
        <f t="shared" si="7"/>
        <v>4.7563077887478444</v>
      </c>
      <c r="M24" s="1">
        <f t="shared" si="7"/>
        <v>4.8111759636498785</v>
      </c>
      <c r="N24" s="1">
        <f t="shared" si="7"/>
        <v>4.8648334542032661</v>
      </c>
      <c r="O24" s="1">
        <f t="shared" si="7"/>
        <v>4.9174802646409335</v>
      </c>
      <c r="P24" s="1">
        <f t="shared" si="7"/>
        <v>4.9685964716714697</v>
      </c>
      <c r="Q24" s="1">
        <f t="shared" si="7"/>
        <v>5.0174686968881508</v>
      </c>
      <c r="R24" s="1">
        <f t="shared" si="7"/>
        <v>5.0629663040594322</v>
      </c>
      <c r="S24" s="1">
        <f t="shared" si="7"/>
        <v>5.1413963459391123</v>
      </c>
      <c r="T24" s="1">
        <f t="shared" si="7"/>
        <v>5.2117775807228632</v>
      </c>
      <c r="U24" s="1">
        <f t="shared" si="7"/>
        <v>5.2787504289344493</v>
      </c>
      <c r="V24" s="1">
        <f t="shared" si="7"/>
        <v>5.343399418928966</v>
      </c>
      <c r="W24" s="1">
        <f t="shared" si="7"/>
        <v>5.4070855071284987</v>
      </c>
      <c r="X24" s="1">
        <f t="shared" si="7"/>
        <v>5.4704701764833823</v>
      </c>
      <c r="Y24" s="32">
        <f t="shared" si="7"/>
        <v>5.5378747591967885</v>
      </c>
      <c r="Z24" s="1">
        <f t="shared" si="7"/>
        <v>5.6030554957313941</v>
      </c>
      <c r="AA24" s="1">
        <f t="shared" si="7"/>
        <v>5.6828564447711303</v>
      </c>
      <c r="AB24" s="1">
        <f t="shared" si="7"/>
        <v>5.8033306143163932</v>
      </c>
    </row>
    <row r="25" spans="1:28" x14ac:dyDescent="0.3">
      <c r="A25" s="150" t="s">
        <v>27</v>
      </c>
      <c r="B25" s="12" t="s">
        <v>36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32"/>
      <c r="Z25" s="1"/>
      <c r="AA25" s="1"/>
      <c r="AB25" s="1"/>
    </row>
    <row r="26" spans="1:28" x14ac:dyDescent="0.3">
      <c r="A26" s="150"/>
      <c r="B26" s="2" t="s">
        <v>11</v>
      </c>
      <c r="C26" s="1">
        <v>0.88053440000000005</v>
      </c>
      <c r="D26" s="1">
        <v>0.88072170000000005</v>
      </c>
      <c r="E26" s="1">
        <v>0.88092619999999999</v>
      </c>
      <c r="F26" s="1">
        <v>0.88111870000000003</v>
      </c>
      <c r="G26" s="1">
        <v>0.88128759999999995</v>
      </c>
      <c r="H26" s="1">
        <v>0.88144690000000003</v>
      </c>
      <c r="I26" s="1">
        <v>0.88158150000000002</v>
      </c>
      <c r="J26" s="1">
        <v>0.88170210000000004</v>
      </c>
      <c r="K26" s="1">
        <v>0.88180119999999995</v>
      </c>
      <c r="L26" s="1">
        <v>0.8818935</v>
      </c>
      <c r="M26" s="1">
        <v>0.88195679999999999</v>
      </c>
      <c r="N26" s="1">
        <v>0.88200250000000002</v>
      </c>
      <c r="O26" s="1">
        <v>0.88201600000000002</v>
      </c>
      <c r="P26" s="1">
        <v>0.88198730000000003</v>
      </c>
      <c r="Q26" s="1">
        <v>0.88187150000000003</v>
      </c>
      <c r="R26" s="1">
        <v>0.88158610000000004</v>
      </c>
      <c r="S26" s="1">
        <v>0.88044690000000003</v>
      </c>
      <c r="T26" s="1">
        <v>0.87900579999999995</v>
      </c>
      <c r="U26" s="1">
        <v>0.8775326</v>
      </c>
      <c r="V26" s="1">
        <v>0.87607729999999995</v>
      </c>
      <c r="W26" s="1">
        <v>0.87464430000000004</v>
      </c>
      <c r="X26" s="1">
        <v>0.87321360000000003</v>
      </c>
      <c r="Y26" s="32">
        <v>0.87169399999999997</v>
      </c>
      <c r="Z26" s="1">
        <v>0.87023479999999998</v>
      </c>
      <c r="AA26" s="1">
        <v>0.8684634</v>
      </c>
      <c r="AB26" s="1">
        <v>0.86580659999999998</v>
      </c>
    </row>
    <row r="27" spans="1:28" x14ac:dyDescent="0.3">
      <c r="A27" s="150"/>
      <c r="B27" s="2" t="s">
        <v>12</v>
      </c>
      <c r="C27" s="1">
        <v>5.5957189999999999E-3</v>
      </c>
      <c r="D27" s="1">
        <v>5.3563279999999996E-3</v>
      </c>
      <c r="E27" s="1">
        <v>5.1130699999999999E-3</v>
      </c>
      <c r="F27" s="1">
        <v>4.8812839999999996E-3</v>
      </c>
      <c r="G27" s="1">
        <v>4.6679180000000001E-3</v>
      </c>
      <c r="H27" s="1">
        <v>4.4747429999999998E-3</v>
      </c>
      <c r="I27" s="1">
        <v>4.3013859999999999E-3</v>
      </c>
      <c r="J27" s="1">
        <v>4.1460719999999998E-3</v>
      </c>
      <c r="K27" s="1">
        <v>4.0068980000000001E-3</v>
      </c>
      <c r="L27" s="1">
        <v>3.8824900000000002E-3</v>
      </c>
      <c r="M27" s="1">
        <v>3.770766E-3</v>
      </c>
      <c r="N27" s="1">
        <v>3.6696630000000001E-3</v>
      </c>
      <c r="O27" s="1">
        <v>3.5787079999999999E-3</v>
      </c>
      <c r="P27" s="1">
        <v>3.4960759999999999E-3</v>
      </c>
      <c r="Q27" s="1">
        <v>3.4207109999999999E-3</v>
      </c>
      <c r="R27" s="1">
        <v>3.3516959999999999E-3</v>
      </c>
      <c r="S27" s="1">
        <v>3.228505E-3</v>
      </c>
      <c r="T27" s="1">
        <v>3.123724E-3</v>
      </c>
      <c r="U27" s="1">
        <v>3.0342500000000001E-3</v>
      </c>
      <c r="V27" s="1">
        <v>2.9567320000000001E-3</v>
      </c>
      <c r="W27" s="1">
        <v>2.8895040000000002E-3</v>
      </c>
      <c r="X27" s="1">
        <v>2.8301149999999998E-3</v>
      </c>
      <c r="Y27" s="32">
        <v>2.7738580000000001E-3</v>
      </c>
      <c r="Z27" s="1">
        <v>2.7266650000000001E-3</v>
      </c>
      <c r="AA27" s="1">
        <v>2.6773679999999998E-3</v>
      </c>
      <c r="AB27" s="1">
        <v>2.6211899999999998E-3</v>
      </c>
    </row>
    <row r="28" spans="1:28" x14ac:dyDescent="0.3">
      <c r="A28" s="150"/>
      <c r="B28" s="2" t="s">
        <v>13</v>
      </c>
      <c r="C28" s="1">
        <v>3.0604580000000002E-4</v>
      </c>
      <c r="D28" s="1">
        <v>3.0263369999999998E-4</v>
      </c>
      <c r="E28" s="1">
        <v>2.9909370000000003E-4</v>
      </c>
      <c r="F28" s="1">
        <v>2.9576029999999999E-4</v>
      </c>
      <c r="G28" s="1">
        <v>2.9280510000000002E-4</v>
      </c>
      <c r="H28" s="1">
        <v>2.9026110000000003E-4</v>
      </c>
      <c r="I28" s="1">
        <v>2.88137E-4</v>
      </c>
      <c r="J28" s="1">
        <v>2.8639719999999999E-4</v>
      </c>
      <c r="K28" s="1">
        <v>2.8500070000000001E-4</v>
      </c>
      <c r="L28" s="1">
        <v>2.8393400000000001E-4</v>
      </c>
      <c r="M28" s="1">
        <v>2.8314490000000002E-4</v>
      </c>
      <c r="N28" s="1">
        <v>2.8256849999999998E-4</v>
      </c>
      <c r="O28" s="1">
        <v>2.8222460000000002E-4</v>
      </c>
      <c r="P28" s="1">
        <v>2.8205359999999998E-4</v>
      </c>
      <c r="Q28" s="1">
        <v>2.8202009999999999E-4</v>
      </c>
      <c r="R28" s="1">
        <v>2.821015E-4</v>
      </c>
      <c r="S28" s="1">
        <v>2.8243430000000002E-4</v>
      </c>
      <c r="T28" s="1">
        <v>2.8311930000000002E-4</v>
      </c>
      <c r="U28" s="1">
        <v>2.841513E-4</v>
      </c>
      <c r="V28" s="1">
        <v>2.854574E-4</v>
      </c>
      <c r="W28" s="1">
        <v>2.8706620000000001E-4</v>
      </c>
      <c r="X28" s="1">
        <v>2.8894389999999998E-4</v>
      </c>
      <c r="Y28" s="32">
        <v>2.9121939999999998E-4</v>
      </c>
      <c r="Z28" s="1">
        <v>2.9370859999999999E-4</v>
      </c>
      <c r="AA28" s="1">
        <v>2.9713070000000002E-4</v>
      </c>
      <c r="AB28" s="1">
        <v>3.031806E-4</v>
      </c>
    </row>
    <row r="29" spans="1:28" x14ac:dyDescent="0.3">
      <c r="A29" s="150"/>
      <c r="B29" s="2" t="s">
        <v>14</v>
      </c>
      <c r="C29" s="35">
        <v>5.3509130000000001E-5</v>
      </c>
      <c r="D29" s="35">
        <v>5.2916649999999998E-5</v>
      </c>
      <c r="E29" s="35">
        <v>5.2293960000000002E-5</v>
      </c>
      <c r="F29" s="35">
        <v>5.1699100000000001E-5</v>
      </c>
      <c r="G29" s="35">
        <v>5.1162699999999997E-5</v>
      </c>
      <c r="H29" s="35">
        <v>5.0691649999999998E-5</v>
      </c>
      <c r="I29" s="35">
        <v>5.0288409999999999E-5</v>
      </c>
      <c r="J29" s="35">
        <v>4.9947960000000001E-5</v>
      </c>
      <c r="K29" s="35">
        <v>4.9663950000000001E-5</v>
      </c>
      <c r="L29" s="35">
        <v>4.943476E-5</v>
      </c>
      <c r="M29" s="35">
        <v>4.9252039999999998E-5</v>
      </c>
      <c r="N29" s="35">
        <v>4.9104660000000002E-5</v>
      </c>
      <c r="O29" s="35">
        <v>4.8996789999999997E-5</v>
      </c>
      <c r="P29" s="35">
        <v>4.8918100000000002E-5</v>
      </c>
      <c r="Q29" s="35">
        <v>4.8862849999999999E-5</v>
      </c>
      <c r="R29" s="35">
        <v>4.8827169999999997E-5</v>
      </c>
      <c r="S29" s="35">
        <v>4.8785059999999999E-5</v>
      </c>
      <c r="T29" s="35">
        <v>4.8804339999999999E-5</v>
      </c>
      <c r="U29" s="35">
        <v>4.8884329999999998E-5</v>
      </c>
      <c r="V29" s="35">
        <v>4.9012089999999997E-5</v>
      </c>
      <c r="W29" s="35">
        <v>4.9192189999999999E-5</v>
      </c>
      <c r="X29" s="35">
        <v>4.9417589999999999E-5</v>
      </c>
      <c r="Y29" s="36">
        <v>4.9703339999999998E-5</v>
      </c>
      <c r="Z29" s="35">
        <v>5.0028499999999997E-5</v>
      </c>
      <c r="AA29" s="35">
        <v>5.0489669999999997E-5</v>
      </c>
      <c r="AB29" s="35">
        <v>5.1336560000000003E-5</v>
      </c>
    </row>
    <row r="30" spans="1:28" x14ac:dyDescent="0.3">
      <c r="A30" s="150"/>
      <c r="B30" s="2" t="s">
        <v>15</v>
      </c>
      <c r="C30" s="1">
        <v>0.11350929999999999</v>
      </c>
      <c r="D30" s="1">
        <v>0.11356529999999999</v>
      </c>
      <c r="E30" s="1">
        <v>0.1136084</v>
      </c>
      <c r="F30" s="1">
        <v>0.1136515</v>
      </c>
      <c r="G30" s="1">
        <v>0.11369940000000001</v>
      </c>
      <c r="H30" s="1">
        <v>0.1137364</v>
      </c>
      <c r="I30" s="1">
        <v>0.1137777</v>
      </c>
      <c r="J30" s="1">
        <v>0.1138144</v>
      </c>
      <c r="K30" s="1">
        <v>0.1138562</v>
      </c>
      <c r="L30" s="1">
        <v>0.1138897</v>
      </c>
      <c r="M30" s="1">
        <v>0.1139391</v>
      </c>
      <c r="N30" s="1">
        <v>0.113995</v>
      </c>
      <c r="O30" s="1">
        <v>0.1140732</v>
      </c>
      <c r="P30" s="1">
        <v>0.1141848</v>
      </c>
      <c r="Q30" s="1">
        <v>0.1143759</v>
      </c>
      <c r="R30" s="1">
        <v>0.11473029999999999</v>
      </c>
      <c r="S30" s="1">
        <v>0.1159924</v>
      </c>
      <c r="T30" s="1">
        <v>0.1175374</v>
      </c>
      <c r="U30" s="1">
        <v>0.119099</v>
      </c>
      <c r="V30" s="1">
        <v>0.1206303</v>
      </c>
      <c r="W30" s="1">
        <v>0.12212870000000001</v>
      </c>
      <c r="X30" s="1">
        <v>0.1236167</v>
      </c>
      <c r="Y30" s="32">
        <v>0.1251901</v>
      </c>
      <c r="Z30" s="1">
        <v>0.12669359999999999</v>
      </c>
      <c r="AA30" s="1">
        <v>0.12851029999999999</v>
      </c>
      <c r="AB30" s="1">
        <v>0.13121650000000001</v>
      </c>
    </row>
    <row r="31" spans="1:28" x14ac:dyDescent="0.3">
      <c r="A31" s="150"/>
      <c r="B31" s="2" t="s">
        <v>55</v>
      </c>
      <c r="C31" s="35">
        <v>1.0161479999999999E-6</v>
      </c>
      <c r="D31" s="35">
        <v>1.0106149999999999E-6</v>
      </c>
      <c r="E31" s="35">
        <v>1.005778E-6</v>
      </c>
      <c r="F31" s="35">
        <v>1.001597E-6</v>
      </c>
      <c r="G31" s="35">
        <v>9.9802090000000002E-7</v>
      </c>
      <c r="H31" s="35">
        <v>9.9456209999999992E-7</v>
      </c>
      <c r="I31" s="35">
        <v>9.9154219999999993E-7</v>
      </c>
      <c r="J31" s="35">
        <v>9.8867540000000008E-7</v>
      </c>
      <c r="K31" s="35">
        <v>9.8618429999999999E-7</v>
      </c>
      <c r="L31" s="35">
        <v>9.8369169999999996E-7</v>
      </c>
      <c r="M31" s="35">
        <v>9.8177140000000008E-7</v>
      </c>
      <c r="N31" s="35">
        <v>9.8015240000000008E-7</v>
      </c>
      <c r="O31" s="35">
        <v>9.7920679999999998E-7</v>
      </c>
      <c r="P31" s="35">
        <v>9.7911290000000007E-7</v>
      </c>
      <c r="Q31" s="35">
        <v>9.809197000000001E-7</v>
      </c>
      <c r="R31" s="35">
        <v>9.864816999999999E-7</v>
      </c>
      <c r="S31" s="35">
        <v>1.010341E-6</v>
      </c>
      <c r="T31" s="35">
        <v>1.0412709999999999E-6</v>
      </c>
      <c r="U31" s="35">
        <v>1.0733369999999999E-6</v>
      </c>
      <c r="V31" s="35">
        <v>1.1054400000000001E-6</v>
      </c>
      <c r="W31" s="35">
        <v>1.1374070000000001E-6</v>
      </c>
      <c r="X31" s="35">
        <v>1.1697439999999999E-6</v>
      </c>
      <c r="Y31" s="36">
        <v>1.2045249999999999E-6</v>
      </c>
      <c r="Z31" s="35">
        <v>1.2383479999999999E-6</v>
      </c>
      <c r="AA31" s="35">
        <v>1.2799560000000001E-6</v>
      </c>
      <c r="AB31" s="35">
        <v>1.343603E-6</v>
      </c>
    </row>
    <row r="32" spans="1:28" x14ac:dyDescent="0.3">
      <c r="A32" s="150" t="s">
        <v>27</v>
      </c>
      <c r="B32" s="12" t="s">
        <v>35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32"/>
      <c r="Z32" s="1"/>
      <c r="AA32" s="1"/>
      <c r="AB32" s="1"/>
    </row>
    <row r="33" spans="1:28" x14ac:dyDescent="0.3">
      <c r="A33" s="150"/>
      <c r="B33" s="2" t="s">
        <v>11</v>
      </c>
      <c r="C33" s="1">
        <v>0.7576233</v>
      </c>
      <c r="D33" s="1">
        <v>0.75768440000000004</v>
      </c>
      <c r="E33" s="1">
        <v>0.75777150000000004</v>
      </c>
      <c r="F33" s="1">
        <v>0.75785069999999999</v>
      </c>
      <c r="G33" s="1">
        <v>0.75790869999999999</v>
      </c>
      <c r="H33" s="1">
        <v>0.75797250000000005</v>
      </c>
      <c r="I33" s="1">
        <v>0.75801490000000005</v>
      </c>
      <c r="J33" s="1">
        <v>0.75805310000000004</v>
      </c>
      <c r="K33" s="1">
        <v>0.75807119999999995</v>
      </c>
      <c r="L33" s="1">
        <v>0.75809409999999999</v>
      </c>
      <c r="M33" s="1">
        <v>0.75807959999999996</v>
      </c>
      <c r="N33" s="1">
        <v>0.758046</v>
      </c>
      <c r="O33" s="1">
        <v>0.75796549999999996</v>
      </c>
      <c r="P33" s="1">
        <v>0.75781940000000003</v>
      </c>
      <c r="Q33" s="1">
        <v>0.75752509999999995</v>
      </c>
      <c r="R33" s="1">
        <v>0.75693319999999997</v>
      </c>
      <c r="S33" s="1">
        <v>0.75474989999999997</v>
      </c>
      <c r="T33" s="1">
        <v>0.75205610000000001</v>
      </c>
      <c r="U33" s="1">
        <v>0.74933249999999996</v>
      </c>
      <c r="V33" s="1">
        <v>0.74666509999999997</v>
      </c>
      <c r="W33" s="1">
        <v>0.74405869999999996</v>
      </c>
      <c r="X33" s="1">
        <v>0.74147479999999999</v>
      </c>
      <c r="Y33" s="32">
        <v>0.73874830000000002</v>
      </c>
      <c r="Z33" s="1">
        <v>0.73614789999999997</v>
      </c>
      <c r="AA33" s="1">
        <v>0.73301320000000003</v>
      </c>
      <c r="AB33" s="1">
        <v>0.72835700000000003</v>
      </c>
    </row>
    <row r="34" spans="1:28" x14ac:dyDescent="0.3">
      <c r="A34" s="150"/>
      <c r="B34" s="2" t="s">
        <v>12</v>
      </c>
      <c r="C34" s="1">
        <v>3.3074509999999999E-3</v>
      </c>
      <c r="D34" s="1">
        <v>3.165536E-3</v>
      </c>
      <c r="E34" s="1">
        <v>3.021419E-3</v>
      </c>
      <c r="F34" s="1">
        <v>2.8841230000000002E-3</v>
      </c>
      <c r="G34" s="1">
        <v>2.757738E-3</v>
      </c>
      <c r="H34" s="1">
        <v>2.6433569999999998E-3</v>
      </c>
      <c r="I34" s="1">
        <v>2.5407049999999999E-3</v>
      </c>
      <c r="J34" s="1">
        <v>2.448754E-3</v>
      </c>
      <c r="K34" s="1">
        <v>2.3663450000000002E-3</v>
      </c>
      <c r="L34" s="1">
        <v>2.2927030000000001E-3</v>
      </c>
      <c r="M34" s="1">
        <v>2.226525E-3</v>
      </c>
      <c r="N34" s="1">
        <v>2.1666179999999999E-3</v>
      </c>
      <c r="O34" s="1">
        <v>2.1126610000000001E-3</v>
      </c>
      <c r="P34" s="1">
        <v>2.063549E-3</v>
      </c>
      <c r="Q34" s="1">
        <v>2.018546E-3</v>
      </c>
      <c r="R34" s="1">
        <v>1.9769150000000001E-3</v>
      </c>
      <c r="S34" s="1">
        <v>1.9012180000000001E-3</v>
      </c>
      <c r="T34" s="1">
        <v>1.835953E-3</v>
      </c>
      <c r="U34" s="1">
        <v>1.7798899999999999E-3</v>
      </c>
      <c r="V34" s="1">
        <v>1.7311150000000001E-3</v>
      </c>
      <c r="W34" s="1">
        <v>1.688611E-3</v>
      </c>
      <c r="X34" s="1">
        <v>1.650861E-3</v>
      </c>
      <c r="Y34" s="32">
        <v>1.6149059999999999E-3</v>
      </c>
      <c r="Z34" s="1">
        <v>1.584495E-3</v>
      </c>
      <c r="AA34" s="1">
        <v>1.5523830000000001E-3</v>
      </c>
      <c r="AB34" s="1">
        <v>1.51479E-3</v>
      </c>
    </row>
    <row r="35" spans="1:28" x14ac:dyDescent="0.3">
      <c r="A35" s="150"/>
      <c r="B35" s="2" t="s">
        <v>13</v>
      </c>
      <c r="C35" s="1">
        <v>4.1368489999999997E-4</v>
      </c>
      <c r="D35" s="1">
        <v>4.090187E-4</v>
      </c>
      <c r="E35" s="1">
        <v>4.0418689999999999E-4</v>
      </c>
      <c r="F35" s="1">
        <v>3.9963660000000002E-4</v>
      </c>
      <c r="G35" s="1">
        <v>3.9559810000000002E-4</v>
      </c>
      <c r="H35" s="1">
        <v>3.9212310000000001E-4</v>
      </c>
      <c r="I35" s="1">
        <v>3.8921589999999997E-4</v>
      </c>
      <c r="J35" s="1">
        <v>3.8683229999999998E-4</v>
      </c>
      <c r="K35" s="1">
        <v>3.84912E-4</v>
      </c>
      <c r="L35" s="1">
        <v>3.8344280000000001E-4</v>
      </c>
      <c r="M35" s="1">
        <v>3.8234240000000001E-4</v>
      </c>
      <c r="N35" s="1">
        <v>3.8152740000000002E-4</v>
      </c>
      <c r="O35" s="1">
        <v>3.8101679999999997E-4</v>
      </c>
      <c r="P35" s="1">
        <v>3.8072490000000002E-4</v>
      </c>
      <c r="Q35" s="1">
        <v>3.8058180000000001E-4</v>
      </c>
      <c r="R35" s="1">
        <v>3.805174E-4</v>
      </c>
      <c r="S35" s="1">
        <v>3.803589E-4</v>
      </c>
      <c r="T35" s="1">
        <v>3.8054339999999998E-4</v>
      </c>
      <c r="U35" s="1">
        <v>3.8118620000000001E-4</v>
      </c>
      <c r="V35" s="1">
        <v>3.82209E-4</v>
      </c>
      <c r="W35" s="1">
        <v>3.8364900000000001E-4</v>
      </c>
      <c r="X35" s="1">
        <v>3.8544790000000001E-4</v>
      </c>
      <c r="Y35" s="32">
        <v>3.8772969999999998E-4</v>
      </c>
      <c r="Z35" s="1">
        <v>3.9032059999999998E-4</v>
      </c>
      <c r="AA35" s="1">
        <v>3.9398889999999999E-4</v>
      </c>
      <c r="AB35" s="1">
        <v>4.006832E-4</v>
      </c>
    </row>
    <row r="36" spans="1:28" x14ac:dyDescent="0.3">
      <c r="A36" s="150"/>
      <c r="B36" s="2" t="s">
        <v>14</v>
      </c>
      <c r="C36" s="35">
        <v>6.3321309999999994E-5</v>
      </c>
      <c r="D36" s="35">
        <v>6.2611909999999997E-5</v>
      </c>
      <c r="E36" s="35">
        <v>6.1867870000000002E-5</v>
      </c>
      <c r="F36" s="35">
        <v>6.1157139999999994E-5</v>
      </c>
      <c r="G36" s="35">
        <v>6.0515649999999997E-5</v>
      </c>
      <c r="H36" s="35">
        <v>5.9952679999999998E-5</v>
      </c>
      <c r="I36" s="35">
        <v>5.947003E-5</v>
      </c>
      <c r="J36" s="35">
        <v>5.906232E-5</v>
      </c>
      <c r="K36" s="35">
        <v>5.8721270000000001E-5</v>
      </c>
      <c r="L36" s="35">
        <v>5.8445929999999998E-5</v>
      </c>
      <c r="M36" s="35">
        <v>5.822463E-5</v>
      </c>
      <c r="N36" s="35">
        <v>5.8044809999999998E-5</v>
      </c>
      <c r="O36" s="35">
        <v>5.7910259999999997E-5</v>
      </c>
      <c r="P36" s="35">
        <v>5.7807989999999999E-5</v>
      </c>
      <c r="Q36" s="35">
        <v>5.7727850000000003E-5</v>
      </c>
      <c r="R36" s="35">
        <v>5.7659289999999998E-5</v>
      </c>
      <c r="S36" s="35">
        <v>5.7517720000000001E-5</v>
      </c>
      <c r="T36" s="35">
        <v>5.742907E-5</v>
      </c>
      <c r="U36" s="35">
        <v>5.7411109999999997E-5</v>
      </c>
      <c r="V36" s="35">
        <v>5.7451529999999999E-5</v>
      </c>
      <c r="W36" s="35">
        <v>5.7555500000000001E-5</v>
      </c>
      <c r="X36" s="35">
        <v>5.7712830000000003E-5</v>
      </c>
      <c r="Y36" s="36">
        <v>5.793393E-5</v>
      </c>
      <c r="Z36" s="35">
        <v>5.8205100000000003E-5</v>
      </c>
      <c r="AA36" s="35">
        <v>5.8610809999999999E-5</v>
      </c>
      <c r="AB36" s="35">
        <v>5.939709E-5</v>
      </c>
    </row>
    <row r="37" spans="1:28" x14ac:dyDescent="0.3">
      <c r="A37" s="150"/>
      <c r="B37" s="2" t="s">
        <v>15</v>
      </c>
      <c r="C37" s="1">
        <v>0.2385919</v>
      </c>
      <c r="D37" s="1">
        <v>0.2386781</v>
      </c>
      <c r="E37" s="1">
        <v>0.2387407</v>
      </c>
      <c r="F37" s="1">
        <v>0.23880399999999999</v>
      </c>
      <c r="G37" s="1">
        <v>0.23887710000000001</v>
      </c>
      <c r="H37" s="1">
        <v>0.2389318</v>
      </c>
      <c r="I37" s="1">
        <v>0.2389954</v>
      </c>
      <c r="J37" s="1">
        <v>0.23905190000000001</v>
      </c>
      <c r="K37" s="1">
        <v>0.23911850000000001</v>
      </c>
      <c r="L37" s="1">
        <v>0.23917099999999999</v>
      </c>
      <c r="M37" s="1">
        <v>0.23925299999999999</v>
      </c>
      <c r="N37" s="1">
        <v>0.23934739999999999</v>
      </c>
      <c r="O37" s="1">
        <v>0.23948249999999999</v>
      </c>
      <c r="P37" s="1">
        <v>0.23967830000000001</v>
      </c>
      <c r="Q37" s="1">
        <v>0.2400177</v>
      </c>
      <c r="R37" s="1">
        <v>0.24065120000000001</v>
      </c>
      <c r="S37" s="1">
        <v>0.2429106</v>
      </c>
      <c r="T37" s="1">
        <v>0.24566969999999999</v>
      </c>
      <c r="U37" s="1">
        <v>0.24844859999999999</v>
      </c>
      <c r="V37" s="1">
        <v>0.25116379999999999</v>
      </c>
      <c r="W37" s="1">
        <v>0.25381110000000001</v>
      </c>
      <c r="X37" s="1">
        <v>0.25643070000000001</v>
      </c>
      <c r="Y37" s="32">
        <v>0.2591907</v>
      </c>
      <c r="Z37" s="1">
        <v>0.26181860000000001</v>
      </c>
      <c r="AA37" s="1">
        <v>0.26498129999999998</v>
      </c>
      <c r="AB37" s="1">
        <v>0.26966770000000001</v>
      </c>
    </row>
    <row r="38" spans="1:28" x14ac:dyDescent="0.3">
      <c r="A38" s="150"/>
      <c r="B38" s="2" t="s">
        <v>55</v>
      </c>
      <c r="C38" s="35">
        <v>3.65982E-7</v>
      </c>
      <c r="D38" s="35">
        <v>3.6394119999999997E-7</v>
      </c>
      <c r="E38" s="35">
        <v>3.6215679999999999E-7</v>
      </c>
      <c r="F38" s="35">
        <v>3.6061019999999998E-7</v>
      </c>
      <c r="G38" s="35">
        <v>3.5928140000000002E-7</v>
      </c>
      <c r="H38" s="35">
        <v>3.5800159999999998E-7</v>
      </c>
      <c r="I38" s="35">
        <v>3.5688E-7</v>
      </c>
      <c r="J38" s="35">
        <v>3.558175E-7</v>
      </c>
      <c r="K38" s="35">
        <v>3.5488950000000001E-7</v>
      </c>
      <c r="L38" s="35">
        <v>3.5396620000000002E-7</v>
      </c>
      <c r="M38" s="35">
        <v>3.5324309999999997E-7</v>
      </c>
      <c r="N38" s="35">
        <v>3.526266E-7</v>
      </c>
      <c r="O38" s="35">
        <v>3.5224360000000002E-7</v>
      </c>
      <c r="P38" s="35">
        <v>3.5215339999999999E-7</v>
      </c>
      <c r="Q38" s="35">
        <v>3.5271259999999999E-7</v>
      </c>
      <c r="R38" s="35">
        <v>3.545501E-7</v>
      </c>
      <c r="S38" s="35">
        <v>3.6254639999999999E-7</v>
      </c>
      <c r="T38" s="35">
        <v>3.7292199999999998E-7</v>
      </c>
      <c r="U38" s="35">
        <v>3.836571E-7</v>
      </c>
      <c r="V38" s="35">
        <v>3.943795E-7</v>
      </c>
      <c r="W38" s="35">
        <v>4.0503020000000001E-7</v>
      </c>
      <c r="X38" s="35">
        <v>4.157791E-7</v>
      </c>
      <c r="Y38" s="36">
        <v>4.2731100000000001E-7</v>
      </c>
      <c r="Z38" s="35">
        <v>4.384975E-7</v>
      </c>
      <c r="AA38" s="35">
        <v>4.5222140000000001E-7</v>
      </c>
      <c r="AB38" s="35">
        <v>4.7314060000000002E-7</v>
      </c>
    </row>
  </sheetData>
  <mergeCells count="2">
    <mergeCell ref="A25:A31"/>
    <mergeCell ref="A32:A38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8"/>
  <sheetViews>
    <sheetView topLeftCell="C22" zoomScale="80" zoomScaleNormal="80" workbookViewId="0">
      <selection activeCell="V33" sqref="V33:V38"/>
    </sheetView>
  </sheetViews>
  <sheetFormatPr defaultRowHeight="15.6" x14ac:dyDescent="0.3"/>
  <cols>
    <col min="1" max="1" width="61.3984375" customWidth="1"/>
    <col min="2" max="2" width="26.19921875" customWidth="1"/>
    <col min="22" max="22" width="8.796875" style="24"/>
  </cols>
  <sheetData>
    <row r="1" spans="1:24" x14ac:dyDescent="0.3">
      <c r="A1" s="61" t="s">
        <v>62</v>
      </c>
      <c r="B1" s="62" t="s">
        <v>8</v>
      </c>
      <c r="C1" s="79">
        <v>0.2</v>
      </c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4"/>
      <c r="W1" s="80"/>
      <c r="X1" s="80"/>
    </row>
    <row r="2" spans="1:24" x14ac:dyDescent="0.3">
      <c r="A2" s="3" t="s">
        <v>17</v>
      </c>
      <c r="B2" s="2" t="s">
        <v>1</v>
      </c>
      <c r="C2" s="50">
        <v>40</v>
      </c>
      <c r="D2" s="50">
        <v>40</v>
      </c>
      <c r="E2" s="50">
        <v>40</v>
      </c>
      <c r="F2" s="50">
        <v>40</v>
      </c>
      <c r="G2" s="50">
        <v>40</v>
      </c>
      <c r="H2" s="50">
        <v>40</v>
      </c>
      <c r="I2" s="50">
        <v>40</v>
      </c>
      <c r="J2" s="50">
        <v>40</v>
      </c>
      <c r="K2" s="50">
        <v>40</v>
      </c>
      <c r="L2" s="50">
        <v>40</v>
      </c>
      <c r="M2" s="50">
        <v>40</v>
      </c>
      <c r="N2" s="50">
        <v>40</v>
      </c>
      <c r="O2" s="50">
        <v>40</v>
      </c>
      <c r="P2" s="50">
        <v>40</v>
      </c>
      <c r="Q2" s="50">
        <v>40</v>
      </c>
      <c r="R2" s="50">
        <v>40</v>
      </c>
      <c r="S2" s="50">
        <v>40</v>
      </c>
      <c r="T2" s="50">
        <v>40</v>
      </c>
      <c r="U2" s="50">
        <v>40</v>
      </c>
      <c r="V2" s="85">
        <v>40</v>
      </c>
      <c r="W2" s="50">
        <v>40</v>
      </c>
      <c r="X2" s="50">
        <v>40</v>
      </c>
    </row>
    <row r="3" spans="1:24" x14ac:dyDescent="0.3">
      <c r="A3" s="3" t="s">
        <v>16</v>
      </c>
      <c r="B3" s="2" t="s">
        <v>2</v>
      </c>
      <c r="C3" s="50">
        <v>1.0129999999999999</v>
      </c>
      <c r="D3" s="50">
        <v>1.0129999999999999</v>
      </c>
      <c r="E3" s="50">
        <v>1.0129999999999999</v>
      </c>
      <c r="F3" s="50">
        <v>1.0129999999999999</v>
      </c>
      <c r="G3" s="50">
        <v>1.0129999999999999</v>
      </c>
      <c r="H3" s="50">
        <v>1.0129999999999999</v>
      </c>
      <c r="I3" s="50">
        <v>1.0129999999999999</v>
      </c>
      <c r="J3" s="50">
        <v>1.0129999999999999</v>
      </c>
      <c r="K3" s="50">
        <v>1.0129999999999999</v>
      </c>
      <c r="L3" s="50">
        <v>1.0129999999999999</v>
      </c>
      <c r="M3" s="50">
        <v>1.0129999999999999</v>
      </c>
      <c r="N3" s="50">
        <v>1.0129999999999999</v>
      </c>
      <c r="O3" s="50">
        <v>1.0129999999999999</v>
      </c>
      <c r="P3" s="50">
        <v>1.0129999999999999</v>
      </c>
      <c r="Q3" s="50">
        <v>1.0129999999999999</v>
      </c>
      <c r="R3" s="50">
        <v>1.0129999999999999</v>
      </c>
      <c r="S3" s="50">
        <v>1.0129999999999999</v>
      </c>
      <c r="T3" s="50">
        <v>1.0129999999999999</v>
      </c>
      <c r="U3" s="50">
        <v>1.0129999999999999</v>
      </c>
      <c r="V3" s="85">
        <v>1.0129999999999999</v>
      </c>
      <c r="W3" s="50">
        <v>1.0129999999999999</v>
      </c>
      <c r="X3" s="50">
        <v>1.0129999999999999</v>
      </c>
    </row>
    <row r="4" spans="1:24" x14ac:dyDescent="0.3">
      <c r="A4" s="3" t="s">
        <v>3</v>
      </c>
      <c r="B4" s="2" t="s">
        <v>1</v>
      </c>
      <c r="C4" s="50">
        <v>40</v>
      </c>
      <c r="D4" s="50">
        <v>40</v>
      </c>
      <c r="E4" s="50">
        <v>40</v>
      </c>
      <c r="F4" s="50">
        <v>40</v>
      </c>
      <c r="G4" s="50">
        <v>40</v>
      </c>
      <c r="H4" s="50">
        <v>40</v>
      </c>
      <c r="I4" s="50">
        <v>40</v>
      </c>
      <c r="J4" s="50">
        <v>40</v>
      </c>
      <c r="K4" s="50">
        <v>40</v>
      </c>
      <c r="L4" s="50">
        <v>40</v>
      </c>
      <c r="M4" s="50">
        <v>40</v>
      </c>
      <c r="N4" s="50">
        <v>40</v>
      </c>
      <c r="O4" s="50">
        <v>40</v>
      </c>
      <c r="P4" s="50">
        <v>40</v>
      </c>
      <c r="Q4" s="50">
        <v>40</v>
      </c>
      <c r="R4" s="50">
        <v>40</v>
      </c>
      <c r="S4" s="50">
        <v>40</v>
      </c>
      <c r="T4" s="50">
        <v>40</v>
      </c>
      <c r="U4" s="50">
        <v>40</v>
      </c>
      <c r="V4" s="85">
        <v>40</v>
      </c>
      <c r="W4" s="50">
        <v>40</v>
      </c>
      <c r="X4" s="50">
        <v>40</v>
      </c>
    </row>
    <row r="5" spans="1:24" x14ac:dyDescent="0.3">
      <c r="A5" s="3" t="s">
        <v>18</v>
      </c>
      <c r="B5" s="2" t="s">
        <v>2</v>
      </c>
      <c r="C5" s="50">
        <v>1.0129999999999999</v>
      </c>
      <c r="D5" s="50">
        <v>1.0129999999999999</v>
      </c>
      <c r="E5" s="50">
        <v>1.0129999999999999</v>
      </c>
      <c r="F5" s="50">
        <v>1.0129999999999999</v>
      </c>
      <c r="G5" s="50">
        <v>1.0129999999999999</v>
      </c>
      <c r="H5" s="50">
        <v>1.0129999999999999</v>
      </c>
      <c r="I5" s="50">
        <v>1.0129999999999999</v>
      </c>
      <c r="J5" s="50">
        <v>1.0129999999999999</v>
      </c>
      <c r="K5" s="50">
        <v>1.0129999999999999</v>
      </c>
      <c r="L5" s="50">
        <v>1.0129999999999999</v>
      </c>
      <c r="M5" s="50">
        <v>1.0129999999999999</v>
      </c>
      <c r="N5" s="50">
        <v>1.0129999999999999</v>
      </c>
      <c r="O5" s="50">
        <v>1.0129999999999999</v>
      </c>
      <c r="P5" s="50">
        <v>1.0129999999999999</v>
      </c>
      <c r="Q5" s="50">
        <v>1.0129999999999999</v>
      </c>
      <c r="R5" s="50">
        <v>1.0129999999999999</v>
      </c>
      <c r="S5" s="50">
        <v>1.0129999999999999</v>
      </c>
      <c r="T5" s="50">
        <v>1.0129999999999999</v>
      </c>
      <c r="U5" s="50">
        <v>1.0129999999999999</v>
      </c>
      <c r="V5" s="85">
        <v>1.0129999999999999</v>
      </c>
      <c r="W5" s="50">
        <v>1.0129999999999999</v>
      </c>
      <c r="X5" s="50">
        <v>1.0129999999999999</v>
      </c>
    </row>
    <row r="6" spans="1:24" x14ac:dyDescent="0.3">
      <c r="A6" s="3" t="s">
        <v>4</v>
      </c>
      <c r="B6" s="2" t="s">
        <v>5</v>
      </c>
      <c r="C6" s="77">
        <f>'MEA 30%'!$C$6</f>
        <v>5050.3680000000004</v>
      </c>
      <c r="D6" s="77">
        <f>'MEA 30%'!$C$6</f>
        <v>5050.3680000000004</v>
      </c>
      <c r="E6" s="77">
        <f>'MEA 30%'!$C$6</f>
        <v>5050.3680000000004</v>
      </c>
      <c r="F6" s="77">
        <f>'MEA 30%'!$C$6</f>
        <v>5050.3680000000004</v>
      </c>
      <c r="G6" s="77">
        <f>'MEA 30%'!$C$6</f>
        <v>5050.3680000000004</v>
      </c>
      <c r="H6" s="77">
        <f>'MEA 30%'!$C$6</f>
        <v>5050.3680000000004</v>
      </c>
      <c r="I6" s="77">
        <f>'MEA 30%'!$C$6</f>
        <v>5050.3680000000004</v>
      </c>
      <c r="J6" s="77">
        <f>'MEA 30%'!$C$6</f>
        <v>5050.3680000000004</v>
      </c>
      <c r="K6" s="77">
        <f>'MEA 30%'!$C$6</f>
        <v>5050.3680000000004</v>
      </c>
      <c r="L6" s="77">
        <f>'MEA 30%'!$C$6</f>
        <v>5050.3680000000004</v>
      </c>
      <c r="M6" s="77">
        <f>'MEA 30%'!$C$6</f>
        <v>5050.3680000000004</v>
      </c>
      <c r="N6" s="77">
        <f>'MEA 30%'!$C$6</f>
        <v>5050.3680000000004</v>
      </c>
      <c r="O6" s="77">
        <f>'MEA 30%'!$C$6</f>
        <v>5050.3680000000004</v>
      </c>
      <c r="P6" s="77">
        <f>'MEA 30%'!$C$6</f>
        <v>5050.3680000000004</v>
      </c>
      <c r="Q6" s="77">
        <f>'MEA 30%'!$C$6</f>
        <v>5050.3680000000004</v>
      </c>
      <c r="R6" s="77">
        <f>'MEA 30%'!$C$6</f>
        <v>5050.3680000000004</v>
      </c>
      <c r="S6" s="77">
        <f>'MEA 30%'!$C$6</f>
        <v>5050.3680000000004</v>
      </c>
      <c r="T6" s="77">
        <f>'MEA 30%'!$C$6</f>
        <v>5050.3680000000004</v>
      </c>
      <c r="U6" s="77">
        <f>'MEA 30%'!$C$6</f>
        <v>5050.3680000000004</v>
      </c>
      <c r="V6" s="86">
        <f>'MEA 30%'!$C$6</f>
        <v>5050.3680000000004</v>
      </c>
      <c r="W6" s="77">
        <f>'MEA 30%'!$C$6</f>
        <v>5050.3680000000004</v>
      </c>
      <c r="X6" s="77">
        <f>'MEA 30%'!$C$6</f>
        <v>5050.3680000000004</v>
      </c>
    </row>
    <row r="7" spans="1:24" x14ac:dyDescent="0.3">
      <c r="A7" s="6" t="s">
        <v>6</v>
      </c>
      <c r="B7" s="22" t="s">
        <v>5</v>
      </c>
      <c r="C7" s="81">
        <f>C8*C6</f>
        <v>2525.1840000000002</v>
      </c>
      <c r="D7" s="81">
        <f t="shared" ref="D7:X7" si="0">D8*D6</f>
        <v>3030.2208000000001</v>
      </c>
      <c r="E7" s="81">
        <f t="shared" si="0"/>
        <v>3535.2575999999999</v>
      </c>
      <c r="F7" s="81">
        <f t="shared" si="0"/>
        <v>4040.2944000000007</v>
      </c>
      <c r="G7" s="81">
        <f t="shared" si="0"/>
        <v>4545.3312000000005</v>
      </c>
      <c r="H7" s="81">
        <f t="shared" si="0"/>
        <v>5050.3680000000004</v>
      </c>
      <c r="I7" s="81">
        <f t="shared" si="0"/>
        <v>6060.4416000000001</v>
      </c>
      <c r="J7" s="81">
        <f t="shared" si="0"/>
        <v>7070.5151999999998</v>
      </c>
      <c r="K7" s="81">
        <f t="shared" si="0"/>
        <v>8080.5888000000014</v>
      </c>
      <c r="L7" s="81">
        <f t="shared" si="0"/>
        <v>9090.6624000000011</v>
      </c>
      <c r="M7" s="81">
        <f t="shared" si="0"/>
        <v>10100.736000000001</v>
      </c>
      <c r="N7" s="81">
        <f t="shared" si="0"/>
        <v>12625.920000000002</v>
      </c>
      <c r="O7" s="81">
        <f t="shared" si="0"/>
        <v>15151.104000000001</v>
      </c>
      <c r="P7" s="81">
        <f t="shared" si="0"/>
        <v>17676.288</v>
      </c>
      <c r="Q7" s="81">
        <f t="shared" si="0"/>
        <v>20201.472000000002</v>
      </c>
      <c r="R7" s="81">
        <f t="shared" si="0"/>
        <v>22726.656000000003</v>
      </c>
      <c r="S7" s="81">
        <f t="shared" si="0"/>
        <v>25251.840000000004</v>
      </c>
      <c r="T7" s="81">
        <f t="shared" si="0"/>
        <v>27777.024000000001</v>
      </c>
      <c r="U7" s="81">
        <f t="shared" si="0"/>
        <v>30302.208000000002</v>
      </c>
      <c r="V7" s="85">
        <f t="shared" si="0"/>
        <v>32700.122726400004</v>
      </c>
      <c r="W7" s="81">
        <f t="shared" si="0"/>
        <v>35352.576000000001</v>
      </c>
      <c r="X7" s="81">
        <f t="shared" si="0"/>
        <v>37877.760000000002</v>
      </c>
    </row>
    <row r="8" spans="1:24" x14ac:dyDescent="0.3">
      <c r="A8" s="3" t="s">
        <v>7</v>
      </c>
      <c r="B8" s="2" t="s">
        <v>29</v>
      </c>
      <c r="C8" s="78">
        <v>0.5</v>
      </c>
      <c r="D8" s="78">
        <v>0.6</v>
      </c>
      <c r="E8" s="78">
        <v>0.7</v>
      </c>
      <c r="F8" s="78">
        <v>0.8</v>
      </c>
      <c r="G8" s="78">
        <v>0.9</v>
      </c>
      <c r="H8" s="78">
        <v>1</v>
      </c>
      <c r="I8" s="78">
        <v>1.2</v>
      </c>
      <c r="J8" s="78">
        <v>1.4</v>
      </c>
      <c r="K8" s="78">
        <v>1.6</v>
      </c>
      <c r="L8" s="78">
        <v>1.8</v>
      </c>
      <c r="M8" s="78">
        <v>2</v>
      </c>
      <c r="N8" s="78">
        <v>2.5</v>
      </c>
      <c r="O8" s="78">
        <v>3</v>
      </c>
      <c r="P8" s="78">
        <v>3.5</v>
      </c>
      <c r="Q8" s="78">
        <v>4</v>
      </c>
      <c r="R8" s="78">
        <v>4.5</v>
      </c>
      <c r="S8" s="78">
        <v>5</v>
      </c>
      <c r="T8" s="78">
        <v>5.5</v>
      </c>
      <c r="U8" s="78">
        <v>6</v>
      </c>
      <c r="V8" s="85">
        <v>6.4748000000000001</v>
      </c>
      <c r="W8" s="78">
        <v>7</v>
      </c>
      <c r="X8" s="78">
        <v>7.5</v>
      </c>
    </row>
    <row r="9" spans="1:24" ht="18" x14ac:dyDescent="0.4">
      <c r="A9" s="3" t="s">
        <v>32</v>
      </c>
      <c r="B9" s="2" t="s">
        <v>5</v>
      </c>
      <c r="C9" s="1">
        <v>802.09379999999999</v>
      </c>
      <c r="D9" s="1">
        <v>802.09379999999999</v>
      </c>
      <c r="E9" s="1">
        <v>802.09379999999999</v>
      </c>
      <c r="F9" s="1">
        <v>802.09379999999999</v>
      </c>
      <c r="G9" s="1">
        <v>802.09379999999999</v>
      </c>
      <c r="H9" s="1">
        <v>802.09379999999999</v>
      </c>
      <c r="I9" s="1">
        <v>802.09379999999999</v>
      </c>
      <c r="J9" s="1">
        <v>802.09379999999999</v>
      </c>
      <c r="K9" s="1">
        <v>802.09379999999999</v>
      </c>
      <c r="L9" s="1">
        <v>802.09379999999999</v>
      </c>
      <c r="M9" s="1">
        <v>802.09379999999999</v>
      </c>
      <c r="N9" s="1">
        <v>802.09379999999999</v>
      </c>
      <c r="O9" s="1">
        <v>802.09379999999999</v>
      </c>
      <c r="P9" s="1">
        <v>802.09379999999999</v>
      </c>
      <c r="Q9" s="1">
        <v>802.09379999999999</v>
      </c>
      <c r="R9" s="1">
        <v>802.09379999999999</v>
      </c>
      <c r="S9" s="1">
        <v>802.09379999999999</v>
      </c>
      <c r="T9" s="1">
        <v>802.09379999999999</v>
      </c>
      <c r="U9" s="1">
        <v>802.09379999999999</v>
      </c>
      <c r="V9" s="32">
        <v>802.09379999999999</v>
      </c>
      <c r="W9" s="1">
        <v>802.09379999999999</v>
      </c>
      <c r="X9" s="1">
        <v>802.09379999999999</v>
      </c>
    </row>
    <row r="10" spans="1:24" ht="18" x14ac:dyDescent="0.4">
      <c r="A10" s="3" t="s">
        <v>33</v>
      </c>
      <c r="B10" s="2" t="s">
        <v>5</v>
      </c>
      <c r="C10" s="50">
        <v>697.58569999999997</v>
      </c>
      <c r="D10" s="50">
        <v>679.37180000000001</v>
      </c>
      <c r="E10" s="50">
        <v>662.26570000000004</v>
      </c>
      <c r="F10" s="82">
        <v>646.11360000000002</v>
      </c>
      <c r="G10" s="50">
        <v>630.85850000000005</v>
      </c>
      <c r="H10" s="50">
        <v>616.3578</v>
      </c>
      <c r="I10" s="50">
        <v>589.23630000000003</v>
      </c>
      <c r="J10" s="50">
        <v>564.1694</v>
      </c>
      <c r="K10" s="50">
        <v>540.58109999999999</v>
      </c>
      <c r="L10" s="50">
        <v>518.18520000000001</v>
      </c>
      <c r="M10" s="50">
        <v>496.67380000000003</v>
      </c>
      <c r="N10" s="50">
        <v>445.66399999999999</v>
      </c>
      <c r="O10" s="50">
        <v>397.02199999999999</v>
      </c>
      <c r="P10" s="50">
        <v>349.6875</v>
      </c>
      <c r="Q10" s="50">
        <v>303.08440000000002</v>
      </c>
      <c r="R10" s="50">
        <v>256.9742</v>
      </c>
      <c r="S10" s="50">
        <v>211.22380000000001</v>
      </c>
      <c r="T10" s="50">
        <v>165.96279999999999</v>
      </c>
      <c r="U10" s="50">
        <v>121.3817</v>
      </c>
      <c r="V10" s="85">
        <v>80.075580000000002</v>
      </c>
      <c r="W10" s="50">
        <v>36.867840000000001</v>
      </c>
      <c r="X10" s="50">
        <v>4.4837959999999999</v>
      </c>
    </row>
    <row r="11" spans="1:24" x14ac:dyDescent="0.3">
      <c r="A11" s="3" t="s">
        <v>49</v>
      </c>
      <c r="B11" s="2" t="s">
        <v>5</v>
      </c>
      <c r="C11" s="50">
        <v>104.5081</v>
      </c>
      <c r="D11" s="50">
        <v>122.72199999999999</v>
      </c>
      <c r="E11" s="50">
        <v>139.82810000000001</v>
      </c>
      <c r="F11" s="50">
        <v>155.9802</v>
      </c>
      <c r="G11" s="50">
        <v>171.2354</v>
      </c>
      <c r="H11" s="50">
        <v>185.73589999999999</v>
      </c>
      <c r="I11" s="50">
        <v>212.85749999999999</v>
      </c>
      <c r="J11" s="50">
        <v>237.92439999999999</v>
      </c>
      <c r="K11" s="50">
        <v>261.5127</v>
      </c>
      <c r="L11" s="50">
        <v>283.90870000000001</v>
      </c>
      <c r="M11" s="50">
        <v>305.42009999999999</v>
      </c>
      <c r="N11" s="50">
        <v>356.4298</v>
      </c>
      <c r="O11" s="50">
        <v>405.0718</v>
      </c>
      <c r="P11" s="50">
        <v>452.40629999999999</v>
      </c>
      <c r="Q11" s="50">
        <v>499.00959999999998</v>
      </c>
      <c r="R11" s="50">
        <v>545.11959999999999</v>
      </c>
      <c r="S11" s="50">
        <v>590.86980000000005</v>
      </c>
      <c r="T11" s="50">
        <v>636.13099999999997</v>
      </c>
      <c r="U11" s="50">
        <v>680.71230000000003</v>
      </c>
      <c r="V11" s="85">
        <v>722.01819999999998</v>
      </c>
      <c r="W11" s="50">
        <v>765.22609999999997</v>
      </c>
      <c r="X11" s="50">
        <v>797.61</v>
      </c>
    </row>
    <row r="12" spans="1:24" ht="18" x14ac:dyDescent="0.4">
      <c r="A12" s="3" t="s">
        <v>19</v>
      </c>
      <c r="B12" s="2" t="s">
        <v>8</v>
      </c>
      <c r="C12" s="78">
        <f>(C9-C10)/C9*100</f>
        <v>13.02941127334484</v>
      </c>
      <c r="D12" s="78">
        <f t="shared" ref="D12:X12" si="1">(D9-D10)/D9*100</f>
        <v>15.300205537058131</v>
      </c>
      <c r="E12" s="78">
        <f t="shared" si="1"/>
        <v>17.432886278387883</v>
      </c>
      <c r="F12" s="78">
        <f t="shared" si="1"/>
        <v>19.446628312050283</v>
      </c>
      <c r="G12" s="78">
        <f t="shared" si="1"/>
        <v>21.348538038817896</v>
      </c>
      <c r="H12" s="78">
        <f t="shared" si="1"/>
        <v>23.15639392799196</v>
      </c>
      <c r="I12" s="78">
        <f t="shared" si="1"/>
        <v>26.537731621912545</v>
      </c>
      <c r="J12" s="78">
        <f t="shared" si="1"/>
        <v>29.662914736406144</v>
      </c>
      <c r="K12" s="78">
        <f t="shared" si="1"/>
        <v>32.603755321385101</v>
      </c>
      <c r="L12" s="78">
        <f t="shared" si="1"/>
        <v>35.395934989149644</v>
      </c>
      <c r="M12" s="78">
        <f t="shared" si="1"/>
        <v>38.077840771241462</v>
      </c>
      <c r="N12" s="78">
        <f t="shared" si="1"/>
        <v>44.437421159470375</v>
      </c>
      <c r="O12" s="78">
        <f t="shared" si="1"/>
        <v>50.501799166132443</v>
      </c>
      <c r="P12" s="78">
        <f t="shared" si="1"/>
        <v>56.403166312967393</v>
      </c>
      <c r="Q12" s="78">
        <f t="shared" si="1"/>
        <v>62.213347117257356</v>
      </c>
      <c r="R12" s="78">
        <f t="shared" si="1"/>
        <v>67.962076255919186</v>
      </c>
      <c r="S12" s="78">
        <f t="shared" si="1"/>
        <v>73.665947798125359</v>
      </c>
      <c r="T12" s="78">
        <f t="shared" si="1"/>
        <v>79.308804032645554</v>
      </c>
      <c r="U12" s="78">
        <f t="shared" si="1"/>
        <v>84.86689462005566</v>
      </c>
      <c r="V12" s="85">
        <f t="shared" si="1"/>
        <v>90.016681340760883</v>
      </c>
      <c r="W12" s="78">
        <f t="shared" si="1"/>
        <v>95.403550058609113</v>
      </c>
      <c r="X12" s="78">
        <f t="shared" si="1"/>
        <v>99.440988572658213</v>
      </c>
    </row>
    <row r="13" spans="1:24" x14ac:dyDescent="0.3">
      <c r="A13" s="3" t="s">
        <v>20</v>
      </c>
      <c r="B13" s="2" t="s">
        <v>1</v>
      </c>
      <c r="C13" s="50">
        <v>34.659010000000002</v>
      </c>
      <c r="D13" s="50">
        <v>36.592570000000002</v>
      </c>
      <c r="E13" s="50">
        <v>38.17022</v>
      </c>
      <c r="F13" s="50">
        <v>39.473799999999997</v>
      </c>
      <c r="G13" s="50">
        <v>40.563139999999997</v>
      </c>
      <c r="H13" s="50">
        <v>41.482329999999997</v>
      </c>
      <c r="I13" s="50">
        <v>42.932429999999997</v>
      </c>
      <c r="J13" s="50">
        <v>44.00329</v>
      </c>
      <c r="K13" s="50">
        <v>44.803629999999998</v>
      </c>
      <c r="L13" s="50">
        <v>45.405700000000003</v>
      </c>
      <c r="M13" s="50">
        <v>45.857230000000001</v>
      </c>
      <c r="N13" s="50">
        <v>46.534039999999997</v>
      </c>
      <c r="O13" s="50">
        <v>46.801139999999997</v>
      </c>
      <c r="P13" s="50">
        <v>46.826099999999997</v>
      </c>
      <c r="Q13" s="50">
        <v>46.703139999999998</v>
      </c>
      <c r="R13" s="50">
        <v>46.471380000000003</v>
      </c>
      <c r="S13" s="50">
        <v>46.148769999999999</v>
      </c>
      <c r="T13" s="50">
        <v>45.738210000000002</v>
      </c>
      <c r="U13" s="50">
        <v>45.218670000000003</v>
      </c>
      <c r="V13" s="85">
        <v>44.581049999999998</v>
      </c>
      <c r="W13" s="50">
        <v>43.584519999999998</v>
      </c>
      <c r="X13" s="50">
        <v>41.891669999999998</v>
      </c>
    </row>
    <row r="14" spans="1:24" ht="18" x14ac:dyDescent="0.4">
      <c r="A14" s="3" t="s">
        <v>21</v>
      </c>
      <c r="B14" s="2" t="s">
        <v>1</v>
      </c>
      <c r="C14" s="50">
        <v>17.850709999999999</v>
      </c>
      <c r="D14" s="50">
        <v>19.084389999999999</v>
      </c>
      <c r="E14" s="50">
        <v>20.357759999999999</v>
      </c>
      <c r="F14" s="50">
        <v>21.616340000000001</v>
      </c>
      <c r="G14" s="50">
        <v>22.82677</v>
      </c>
      <c r="H14" s="50">
        <v>23.976569999999999</v>
      </c>
      <c r="I14" s="50">
        <v>26.083300000000001</v>
      </c>
      <c r="J14" s="50">
        <v>27.939609999999998</v>
      </c>
      <c r="K14" s="50">
        <v>29.57715</v>
      </c>
      <c r="L14" s="50">
        <v>31.02318</v>
      </c>
      <c r="M14" s="50">
        <v>32.304270000000002</v>
      </c>
      <c r="N14" s="50">
        <v>34.929870000000001</v>
      </c>
      <c r="O14" s="50">
        <v>36.934869999999997</v>
      </c>
      <c r="P14" s="50">
        <v>38.498220000000003</v>
      </c>
      <c r="Q14" s="50">
        <v>39.740729999999999</v>
      </c>
      <c r="R14" s="50">
        <v>40.751339999999999</v>
      </c>
      <c r="S14" s="50">
        <v>41.588700000000003</v>
      </c>
      <c r="T14" s="50">
        <v>42.297789999999999</v>
      </c>
      <c r="U14" s="50">
        <v>42.911000000000001</v>
      </c>
      <c r="V14" s="85">
        <v>43.432130000000001</v>
      </c>
      <c r="W14" s="50">
        <v>43.968159999999997</v>
      </c>
      <c r="X14" s="50">
        <v>44.47963</v>
      </c>
    </row>
    <row r="15" spans="1:24" x14ac:dyDescent="0.3">
      <c r="A15" s="3" t="s">
        <v>63</v>
      </c>
      <c r="B15" s="2" t="s">
        <v>5</v>
      </c>
      <c r="C15" s="50">
        <v>1.185636E-2</v>
      </c>
      <c r="D15" s="50">
        <v>1.483053E-2</v>
      </c>
      <c r="E15" s="50">
        <v>1.774732E-2</v>
      </c>
      <c r="F15" s="50">
        <v>2.0539959999999999E-2</v>
      </c>
      <c r="G15" s="50">
        <v>2.3176189999999999E-2</v>
      </c>
      <c r="H15" s="50">
        <v>2.563882E-2</v>
      </c>
      <c r="I15" s="50">
        <v>3.0018699999999999E-2</v>
      </c>
      <c r="J15" s="50">
        <v>3.3693239999999999E-2</v>
      </c>
      <c r="K15" s="50">
        <v>3.6719050000000003E-2</v>
      </c>
      <c r="L15" s="50">
        <v>3.9173890000000003E-2</v>
      </c>
      <c r="M15" s="50">
        <v>4.113377E-2</v>
      </c>
      <c r="N15" s="50">
        <v>4.4343569999999999E-2</v>
      </c>
      <c r="O15" s="50">
        <v>4.5854699999999998E-2</v>
      </c>
      <c r="P15" s="50">
        <v>4.6302500000000003E-2</v>
      </c>
      <c r="Q15" s="50">
        <v>4.6112590000000002E-2</v>
      </c>
      <c r="R15" s="50">
        <v>4.5490999999999997E-2</v>
      </c>
      <c r="S15" s="50">
        <v>4.4557449999999998E-2</v>
      </c>
      <c r="T15" s="50">
        <v>4.3372420000000002E-2</v>
      </c>
      <c r="U15" s="50">
        <v>4.1914720000000003E-2</v>
      </c>
      <c r="V15" s="85">
        <v>4.0203679999999999E-2</v>
      </c>
      <c r="W15" s="50">
        <v>3.7691469999999998E-2</v>
      </c>
      <c r="X15" s="50">
        <v>3.3749519999999998E-2</v>
      </c>
    </row>
    <row r="16" spans="1:24" ht="18" x14ac:dyDescent="0.4">
      <c r="A16" s="3" t="s">
        <v>22</v>
      </c>
      <c r="B16" s="2" t="s">
        <v>64</v>
      </c>
      <c r="C16" s="50">
        <f>2374.645/4238.066</f>
        <v>0.56031335991464037</v>
      </c>
      <c r="D16" s="50">
        <f>2788.503/5085.674</f>
        <v>0.548305495004202</v>
      </c>
      <c r="E16" s="50">
        <f>3177.189/5933.283</f>
        <v>0.53548583473938449</v>
      </c>
      <c r="F16" s="50">
        <f>3544.199/6780.893</f>
        <v>0.52267437341954814</v>
      </c>
      <c r="G16" s="50">
        <f>3890.829/7628.504</f>
        <v>0.51003827224839893</v>
      </c>
      <c r="H16" s="50">
        <f>4220.312/8476.115</f>
        <v>0.4979064111329306</v>
      </c>
      <c r="I16" s="50">
        <f>4836.572/10171.34</f>
        <v>0.47550981483265725</v>
      </c>
      <c r="J16" s="50">
        <f>5406.145/11866.58</f>
        <v>0.45557734410419853</v>
      </c>
      <c r="K16" s="50">
        <f>5942.12/13561.82</f>
        <v>0.43815063169987511</v>
      </c>
      <c r="L16" s="50">
        <f>6451.004/15257.07</f>
        <v>0.4228206333195037</v>
      </c>
      <c r="M16" s="50">
        <f>6939.789/16952.32</f>
        <v>0.40937104773859861</v>
      </c>
      <c r="N16" s="50">
        <f>8098.837/21190.45</f>
        <v>0.38219278023826769</v>
      </c>
      <c r="O16" s="50">
        <f>9204.087/25428.61</f>
        <v>0.36195792849078262</v>
      </c>
      <c r="P16" s="50">
        <f>10279.63/29666.77</f>
        <v>0.34650317510130019</v>
      </c>
      <c r="Q16" s="50">
        <f>11338.55/33904.94</f>
        <v>0.33442176862722656</v>
      </c>
      <c r="R16" s="50">
        <f>12386.27/38143.11</f>
        <v>0.32473151769742953</v>
      </c>
      <c r="S16" s="50">
        <f>13425.81/42381.28</f>
        <v>0.31678632641581378</v>
      </c>
      <c r="T16" s="50">
        <f>14454.24/46619.45</f>
        <v>0.31004741583180412</v>
      </c>
      <c r="U16" s="50">
        <f>15467.22/50857.63</f>
        <v>0.30412781720264981</v>
      </c>
      <c r="V16" s="85">
        <f>16405.78/54882.21</f>
        <v>0.29892710224314945</v>
      </c>
      <c r="W16" s="50">
        <f>17387.55/59334</f>
        <v>0.29304530286176561</v>
      </c>
      <c r="X16" s="50">
        <f>18123.38/63572.22</f>
        <v>0.28508332727722896</v>
      </c>
    </row>
    <row r="17" spans="1:24" ht="18" x14ac:dyDescent="0.4">
      <c r="A17" s="3" t="s">
        <v>23</v>
      </c>
      <c r="B17" s="2" t="s">
        <v>1</v>
      </c>
      <c r="C17" s="50">
        <v>65</v>
      </c>
      <c r="D17" s="50">
        <v>65</v>
      </c>
      <c r="E17" s="50">
        <v>65</v>
      </c>
      <c r="F17" s="50">
        <v>65</v>
      </c>
      <c r="G17" s="50">
        <v>65</v>
      </c>
      <c r="H17" s="50">
        <v>65</v>
      </c>
      <c r="I17" s="50">
        <v>65</v>
      </c>
      <c r="J17" s="50">
        <v>65</v>
      </c>
      <c r="K17" s="50">
        <v>65</v>
      </c>
      <c r="L17" s="50">
        <v>65</v>
      </c>
      <c r="M17" s="50">
        <v>65</v>
      </c>
      <c r="N17" s="50">
        <v>65</v>
      </c>
      <c r="O17" s="50">
        <v>65</v>
      </c>
      <c r="P17" s="50">
        <v>65</v>
      </c>
      <c r="Q17" s="50">
        <v>65</v>
      </c>
      <c r="R17" s="50">
        <v>65</v>
      </c>
      <c r="S17" s="50">
        <v>65</v>
      </c>
      <c r="T17" s="50">
        <v>65</v>
      </c>
      <c r="U17" s="50">
        <v>65</v>
      </c>
      <c r="V17" s="85">
        <v>65</v>
      </c>
      <c r="W17" s="50">
        <v>65</v>
      </c>
      <c r="X17" s="50">
        <v>65</v>
      </c>
    </row>
    <row r="18" spans="1:24" ht="18" x14ac:dyDescent="0.4">
      <c r="A18" s="3" t="s">
        <v>24</v>
      </c>
      <c r="B18" s="2" t="s">
        <v>64</v>
      </c>
      <c r="C18" s="50">
        <v>0.21</v>
      </c>
      <c r="D18" s="50">
        <v>0.21</v>
      </c>
      <c r="E18" s="50">
        <v>0.21</v>
      </c>
      <c r="F18" s="50">
        <v>0.21</v>
      </c>
      <c r="G18" s="50">
        <v>0.21</v>
      </c>
      <c r="H18" s="50">
        <v>0.21</v>
      </c>
      <c r="I18" s="50">
        <v>0.21</v>
      </c>
      <c r="J18" s="50">
        <v>0.21</v>
      </c>
      <c r="K18" s="50">
        <v>0.21</v>
      </c>
      <c r="L18" s="50">
        <v>0.21</v>
      </c>
      <c r="M18" s="50">
        <v>0.21</v>
      </c>
      <c r="N18" s="50">
        <v>0.21</v>
      </c>
      <c r="O18" s="50">
        <v>0.21</v>
      </c>
      <c r="P18" s="50">
        <v>0.21</v>
      </c>
      <c r="Q18" s="50">
        <v>0.21</v>
      </c>
      <c r="R18" s="50">
        <v>0.21</v>
      </c>
      <c r="S18" s="50">
        <v>0.21</v>
      </c>
      <c r="T18" s="50">
        <v>0.21</v>
      </c>
      <c r="U18" s="50">
        <v>0.21</v>
      </c>
      <c r="V18" s="85">
        <v>0.21</v>
      </c>
      <c r="W18" s="50">
        <v>0.21</v>
      </c>
      <c r="X18" s="50">
        <v>0.21</v>
      </c>
    </row>
    <row r="19" spans="1:24" x14ac:dyDescent="0.3">
      <c r="A19" s="3" t="s">
        <v>25</v>
      </c>
      <c r="B19" s="2" t="s">
        <v>10</v>
      </c>
      <c r="C19" s="78">
        <v>373.79500000000002</v>
      </c>
      <c r="D19" s="78">
        <v>451.40100000000001</v>
      </c>
      <c r="E19" s="78">
        <v>529.49699999999996</v>
      </c>
      <c r="F19" s="78">
        <v>608.00599999999997</v>
      </c>
      <c r="G19" s="78">
        <v>686.93700000000001</v>
      </c>
      <c r="H19" s="78">
        <v>766.125</v>
      </c>
      <c r="I19" s="78">
        <v>925.48800000000006</v>
      </c>
      <c r="J19" s="78">
        <v>1085.6099999999999</v>
      </c>
      <c r="K19" s="78">
        <v>1246.46</v>
      </c>
      <c r="L19" s="78">
        <v>1407.39</v>
      </c>
      <c r="M19" s="78">
        <v>1567.03</v>
      </c>
      <c r="N19" s="78">
        <v>1942.64</v>
      </c>
      <c r="O19" s="78">
        <v>2303.29</v>
      </c>
      <c r="P19" s="78">
        <v>2663.44</v>
      </c>
      <c r="Q19" s="78">
        <v>3022.28</v>
      </c>
      <c r="R19" s="78">
        <v>3380.51</v>
      </c>
      <c r="S19" s="78">
        <v>3738.49</v>
      </c>
      <c r="T19" s="78">
        <v>4095.21</v>
      </c>
      <c r="U19" s="78">
        <v>4451</v>
      </c>
      <c r="V19" s="85">
        <v>4784.54</v>
      </c>
      <c r="W19" s="78">
        <v>5155.75</v>
      </c>
      <c r="X19" s="78">
        <v>5492.22</v>
      </c>
    </row>
    <row r="20" spans="1:24" ht="18" x14ac:dyDescent="0.4">
      <c r="A20" s="3" t="s">
        <v>26</v>
      </c>
      <c r="B20" s="2" t="s">
        <v>1</v>
      </c>
      <c r="C20" s="50">
        <v>98.534940000000006</v>
      </c>
      <c r="D20" s="50">
        <v>98.58869</v>
      </c>
      <c r="E20" s="50">
        <v>98.633989999999997</v>
      </c>
      <c r="F20" s="50">
        <v>98.675089999999997</v>
      </c>
      <c r="G20" s="50">
        <v>98.713939999999994</v>
      </c>
      <c r="H20" s="50">
        <v>98.745509999999996</v>
      </c>
      <c r="I20" s="50">
        <v>98.802549999999997</v>
      </c>
      <c r="J20" s="50">
        <v>98.850120000000004</v>
      </c>
      <c r="K20" s="50">
        <v>98.891589999999994</v>
      </c>
      <c r="L20" s="50">
        <v>98.926829999999995</v>
      </c>
      <c r="M20" s="50">
        <v>98.956789999999998</v>
      </c>
      <c r="N20" s="50">
        <v>99.019800000000004</v>
      </c>
      <c r="O20" s="50">
        <v>99.066659999999999</v>
      </c>
      <c r="P20" s="50">
        <v>99.101820000000004</v>
      </c>
      <c r="Q20" s="50">
        <v>99.127660000000006</v>
      </c>
      <c r="R20" s="50">
        <v>99.150649999999999</v>
      </c>
      <c r="S20" s="50">
        <v>99.170689999999993</v>
      </c>
      <c r="T20" s="50">
        <v>99.185980000000001</v>
      </c>
      <c r="U20" s="50">
        <v>99.197749999999999</v>
      </c>
      <c r="V20" s="85">
        <v>99.211039999999997</v>
      </c>
      <c r="W20" s="50">
        <v>99.222059999999999</v>
      </c>
      <c r="X20" s="50">
        <v>99.233999999999995</v>
      </c>
    </row>
    <row r="21" spans="1:24" x14ac:dyDescent="0.3">
      <c r="A21" s="3" t="s">
        <v>65</v>
      </c>
      <c r="B21" s="2" t="s">
        <v>5</v>
      </c>
      <c r="C21" s="50">
        <v>1.9948940000000001E-3</v>
      </c>
      <c r="D21" s="50">
        <v>2.2949310000000001E-3</v>
      </c>
      <c r="E21" s="50">
        <v>2.5603039999999998E-3</v>
      </c>
      <c r="F21" s="50">
        <v>2.7961140000000002E-3</v>
      </c>
      <c r="G21" s="50">
        <v>3.0043280000000001E-3</v>
      </c>
      <c r="H21" s="50">
        <v>3.1900930000000002E-3</v>
      </c>
      <c r="I21" s="50">
        <v>3.5047630000000001E-3</v>
      </c>
      <c r="J21" s="50">
        <v>3.7604650000000002E-3</v>
      </c>
      <c r="K21" s="50">
        <v>3.9743030000000002E-3</v>
      </c>
      <c r="L21" s="50">
        <v>4.1584990000000004E-3</v>
      </c>
      <c r="M21" s="50">
        <v>4.334091E-3</v>
      </c>
      <c r="N21" s="50">
        <v>4.8896089999999996E-3</v>
      </c>
      <c r="O21" s="50">
        <v>5.434978E-3</v>
      </c>
      <c r="P21" s="50">
        <v>5.9173419999999999E-3</v>
      </c>
      <c r="Q21" s="50">
        <v>6.3527059999999996E-3</v>
      </c>
      <c r="R21" s="50">
        <v>6.7523419999999997E-3</v>
      </c>
      <c r="S21" s="50">
        <v>7.1246920000000002E-3</v>
      </c>
      <c r="T21" s="50">
        <v>7.4688130000000004E-3</v>
      </c>
      <c r="U21" s="50">
        <v>7.78226E-3</v>
      </c>
      <c r="V21" s="85">
        <v>8.0409939999999992E-3</v>
      </c>
      <c r="W21" s="50">
        <v>8.2438589999999992E-3</v>
      </c>
      <c r="X21" s="50">
        <v>8.1592520000000005E-3</v>
      </c>
    </row>
    <row r="22" spans="1:24" x14ac:dyDescent="0.3">
      <c r="A22" s="3" t="s">
        <v>66</v>
      </c>
      <c r="B22" s="2" t="s">
        <v>5</v>
      </c>
      <c r="C22" s="50">
        <f>C21+C15</f>
        <v>1.3851254E-2</v>
      </c>
      <c r="D22" s="50">
        <f t="shared" ref="D22:X22" si="2">D21+D15</f>
        <v>1.7125461000000002E-2</v>
      </c>
      <c r="E22" s="50">
        <f t="shared" si="2"/>
        <v>2.0307624E-2</v>
      </c>
      <c r="F22" s="50">
        <f t="shared" si="2"/>
        <v>2.3336073999999998E-2</v>
      </c>
      <c r="G22" s="50">
        <f t="shared" si="2"/>
        <v>2.6180518E-2</v>
      </c>
      <c r="H22" s="50">
        <f t="shared" si="2"/>
        <v>2.8828913000000001E-2</v>
      </c>
      <c r="I22" s="50">
        <f t="shared" si="2"/>
        <v>3.3523462999999996E-2</v>
      </c>
      <c r="J22" s="50">
        <f t="shared" si="2"/>
        <v>3.7453704999999997E-2</v>
      </c>
      <c r="K22" s="50">
        <f t="shared" si="2"/>
        <v>4.0693353000000002E-2</v>
      </c>
      <c r="L22" s="50">
        <f t="shared" si="2"/>
        <v>4.3332389000000006E-2</v>
      </c>
      <c r="M22" s="50">
        <f t="shared" si="2"/>
        <v>4.5467860999999998E-2</v>
      </c>
      <c r="N22" s="50">
        <f t="shared" si="2"/>
        <v>4.9233179000000002E-2</v>
      </c>
      <c r="O22" s="50">
        <f t="shared" si="2"/>
        <v>5.1289677999999998E-2</v>
      </c>
      <c r="P22" s="50">
        <f t="shared" si="2"/>
        <v>5.2219842000000002E-2</v>
      </c>
      <c r="Q22" s="50">
        <f t="shared" si="2"/>
        <v>5.2465296000000002E-2</v>
      </c>
      <c r="R22" s="50">
        <f t="shared" si="2"/>
        <v>5.2243341999999998E-2</v>
      </c>
      <c r="S22" s="50">
        <f t="shared" si="2"/>
        <v>5.1682142E-2</v>
      </c>
      <c r="T22" s="50">
        <f t="shared" si="2"/>
        <v>5.0841233E-2</v>
      </c>
      <c r="U22" s="50">
        <f t="shared" si="2"/>
        <v>4.9696980000000002E-2</v>
      </c>
      <c r="V22" s="85">
        <f t="shared" si="2"/>
        <v>4.8244674000000001E-2</v>
      </c>
      <c r="W22" s="50">
        <f t="shared" si="2"/>
        <v>4.5935328999999997E-2</v>
      </c>
      <c r="X22" s="50">
        <f t="shared" si="2"/>
        <v>4.1908771999999997E-2</v>
      </c>
    </row>
    <row r="23" spans="1:24" x14ac:dyDescent="0.3">
      <c r="A23" s="3" t="s">
        <v>67</v>
      </c>
      <c r="B23" s="2" t="s">
        <v>52</v>
      </c>
      <c r="C23" s="50">
        <f>C22/C11*1000</f>
        <v>0.1325376119171624</v>
      </c>
      <c r="D23" s="50">
        <f t="shared" ref="D23:X23" si="3">D22/D11*1000</f>
        <v>0.13954678867684689</v>
      </c>
      <c r="E23" s="50">
        <f t="shared" si="3"/>
        <v>0.14523278225192215</v>
      </c>
      <c r="F23" s="50">
        <f t="shared" si="3"/>
        <v>0.14960920680958226</v>
      </c>
      <c r="G23" s="50">
        <f t="shared" si="3"/>
        <v>0.15289197210389907</v>
      </c>
      <c r="H23" s="50">
        <f t="shared" si="3"/>
        <v>0.15521454387654729</v>
      </c>
      <c r="I23" s="50">
        <f t="shared" si="3"/>
        <v>0.15749251494544472</v>
      </c>
      <c r="J23" s="50">
        <f t="shared" si="3"/>
        <v>0.15741851193068052</v>
      </c>
      <c r="K23" s="50">
        <f t="shared" si="3"/>
        <v>0.15560755940342477</v>
      </c>
      <c r="L23" s="50">
        <f t="shared" si="3"/>
        <v>0.15262790115272973</v>
      </c>
      <c r="M23" s="50">
        <f t="shared" si="3"/>
        <v>0.14886990410912707</v>
      </c>
      <c r="N23" s="50">
        <f t="shared" si="3"/>
        <v>0.13812868340413736</v>
      </c>
      <c r="O23" s="50">
        <f t="shared" si="3"/>
        <v>0.1266187327777446</v>
      </c>
      <c r="P23" s="50">
        <f t="shared" si="3"/>
        <v>0.11542686739773518</v>
      </c>
      <c r="Q23" s="50">
        <f t="shared" si="3"/>
        <v>0.10513885103613238</v>
      </c>
      <c r="R23" s="50">
        <f t="shared" si="3"/>
        <v>9.5838311445781796E-2</v>
      </c>
      <c r="S23" s="50">
        <f t="shared" si="3"/>
        <v>8.7467902404218326E-2</v>
      </c>
      <c r="T23" s="50">
        <f t="shared" si="3"/>
        <v>7.9922583555902788E-2</v>
      </c>
      <c r="U23" s="50">
        <f t="shared" si="3"/>
        <v>7.3007318951045827E-2</v>
      </c>
      <c r="V23" s="85">
        <f t="shared" si="3"/>
        <v>6.681919375439567E-2</v>
      </c>
      <c r="W23" s="50">
        <f t="shared" si="3"/>
        <v>6.002843996042477E-2</v>
      </c>
      <c r="X23" s="50">
        <f t="shared" si="3"/>
        <v>5.2542937024360269E-2</v>
      </c>
    </row>
    <row r="24" spans="1:24" x14ac:dyDescent="0.3">
      <c r="A24" s="3" t="s">
        <v>34</v>
      </c>
      <c r="B24" s="2" t="s">
        <v>28</v>
      </c>
      <c r="C24" s="50">
        <f>C19/C11</f>
        <v>3.5767084082477818</v>
      </c>
      <c r="D24" s="50">
        <f t="shared" ref="D24:X24" si="4">D19/D11</f>
        <v>3.6782402503218661</v>
      </c>
      <c r="E24" s="50">
        <f t="shared" si="4"/>
        <v>3.7867710424442578</v>
      </c>
      <c r="F24" s="50">
        <f t="shared" si="4"/>
        <v>3.897969101206435</v>
      </c>
      <c r="G24" s="50">
        <f t="shared" si="4"/>
        <v>4.0116529642819181</v>
      </c>
      <c r="H24" s="50">
        <f t="shared" si="4"/>
        <v>4.1248083972996072</v>
      </c>
      <c r="I24" s="50">
        <f t="shared" si="4"/>
        <v>4.3479229061696207</v>
      </c>
      <c r="J24" s="50">
        <f t="shared" si="4"/>
        <v>4.5628359260336477</v>
      </c>
      <c r="K24" s="50">
        <f t="shared" si="4"/>
        <v>4.7663459556648684</v>
      </c>
      <c r="L24" s="50">
        <f t="shared" si="4"/>
        <v>4.9571922241199378</v>
      </c>
      <c r="M24" s="50">
        <f t="shared" si="4"/>
        <v>5.130736320235636</v>
      </c>
      <c r="N24" s="50">
        <f t="shared" si="4"/>
        <v>5.4502737986554441</v>
      </c>
      <c r="O24" s="50">
        <f t="shared" si="4"/>
        <v>5.6861277432790924</v>
      </c>
      <c r="P24" s="50">
        <f t="shared" si="4"/>
        <v>5.8872743372495036</v>
      </c>
      <c r="Q24" s="50">
        <f t="shared" si="4"/>
        <v>6.0565568277644362</v>
      </c>
      <c r="R24" s="50">
        <f t="shared" si="4"/>
        <v>6.2014097456778297</v>
      </c>
      <c r="S24" s="50">
        <f t="shared" si="4"/>
        <v>6.3270960878352547</v>
      </c>
      <c r="T24" s="50">
        <f t="shared" si="4"/>
        <v>6.4376834331293402</v>
      </c>
      <c r="U24" s="50">
        <f t="shared" si="4"/>
        <v>6.5387389062897787</v>
      </c>
      <c r="V24" s="85">
        <f t="shared" si="4"/>
        <v>6.6266196613880375</v>
      </c>
      <c r="W24" s="50">
        <f t="shared" si="4"/>
        <v>6.7375511629830713</v>
      </c>
      <c r="X24" s="50">
        <f t="shared" si="4"/>
        <v>6.8858464663181254</v>
      </c>
    </row>
    <row r="25" spans="1:24" x14ac:dyDescent="0.3">
      <c r="A25" s="150" t="s">
        <v>27</v>
      </c>
      <c r="B25" s="12" t="s">
        <v>36</v>
      </c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85"/>
      <c r="W25" s="50"/>
      <c r="X25" s="50"/>
    </row>
    <row r="26" spans="1:24" x14ac:dyDescent="0.3">
      <c r="A26" s="150"/>
      <c r="B26" s="2" t="s">
        <v>11</v>
      </c>
      <c r="C26" s="50">
        <v>0.87561639999999996</v>
      </c>
      <c r="D26" s="50">
        <v>0.87574850000000004</v>
      </c>
      <c r="E26" s="50">
        <v>0.87586649999999999</v>
      </c>
      <c r="F26" s="50">
        <v>0.87596569999999996</v>
      </c>
      <c r="G26" s="50">
        <v>0.87604360000000003</v>
      </c>
      <c r="H26" s="50">
        <v>0.87609570000000003</v>
      </c>
      <c r="I26" s="50">
        <v>0.87616059999999996</v>
      </c>
      <c r="J26" s="50">
        <v>0.87615109999999996</v>
      </c>
      <c r="K26" s="50">
        <v>0.87609890000000001</v>
      </c>
      <c r="L26" s="50">
        <v>0.87596689999999999</v>
      </c>
      <c r="M26" s="50">
        <v>0.87561789999999995</v>
      </c>
      <c r="N26" s="50">
        <v>0.87248769999999998</v>
      </c>
      <c r="O26" s="50">
        <v>0.86910920000000003</v>
      </c>
      <c r="P26" s="50">
        <v>0.86633899999999997</v>
      </c>
      <c r="Q26" s="50">
        <v>0.86406700000000003</v>
      </c>
      <c r="R26" s="50">
        <v>0.8621742</v>
      </c>
      <c r="S26" s="50">
        <v>0.86056489999999997</v>
      </c>
      <c r="T26" s="50">
        <v>0.8591588</v>
      </c>
      <c r="U26" s="50">
        <v>0.85788070000000005</v>
      </c>
      <c r="V26" s="85">
        <v>0.85671649999999999</v>
      </c>
      <c r="W26" s="50">
        <v>0.85533579999999998</v>
      </c>
      <c r="X26" s="50">
        <v>0.85328669999999995</v>
      </c>
    </row>
    <row r="27" spans="1:24" x14ac:dyDescent="0.3">
      <c r="A27" s="150"/>
      <c r="B27" s="2" t="s">
        <v>12</v>
      </c>
      <c r="C27" s="50">
        <v>7.1981119999999996E-3</v>
      </c>
      <c r="D27" s="50">
        <v>7.0205140000000003E-3</v>
      </c>
      <c r="E27" s="50">
        <v>6.8561849999999999E-3</v>
      </c>
      <c r="F27" s="50">
        <v>6.7103060000000001E-3</v>
      </c>
      <c r="G27" s="50">
        <v>6.5901909999999996E-3</v>
      </c>
      <c r="H27" s="50">
        <v>6.4916030000000003E-3</v>
      </c>
      <c r="I27" s="50">
        <v>6.3488670000000002E-3</v>
      </c>
      <c r="J27" s="50">
        <v>6.2658389999999996E-3</v>
      </c>
      <c r="K27" s="50">
        <v>6.2211430000000002E-3</v>
      </c>
      <c r="L27" s="50">
        <v>6.2068109999999996E-3</v>
      </c>
      <c r="M27" s="50">
        <v>6.212576E-3</v>
      </c>
      <c r="N27" s="50">
        <v>6.2753619999999996E-3</v>
      </c>
      <c r="O27" s="50">
        <v>6.382286E-3</v>
      </c>
      <c r="P27" s="50">
        <v>6.5117860000000003E-3</v>
      </c>
      <c r="Q27" s="50">
        <v>6.6500530000000004E-3</v>
      </c>
      <c r="R27" s="50">
        <v>6.790061E-3</v>
      </c>
      <c r="S27" s="50">
        <v>6.928867E-3</v>
      </c>
      <c r="T27" s="50">
        <v>7.0690950000000001E-3</v>
      </c>
      <c r="U27" s="50">
        <v>7.2155930000000002E-3</v>
      </c>
      <c r="V27" s="85">
        <v>7.3698119999999999E-3</v>
      </c>
      <c r="W27" s="50">
        <v>7.5909020000000001E-3</v>
      </c>
      <c r="X27" s="50">
        <v>8.0362980000000007E-3</v>
      </c>
    </row>
    <row r="28" spans="1:24" x14ac:dyDescent="0.3">
      <c r="A28" s="150"/>
      <c r="B28" s="2" t="s">
        <v>13</v>
      </c>
      <c r="C28" s="50">
        <v>4.2264990000000002E-4</v>
      </c>
      <c r="D28" s="50">
        <v>4.2757860000000001E-4</v>
      </c>
      <c r="E28" s="50">
        <v>4.3362199999999999E-4</v>
      </c>
      <c r="F28" s="50">
        <v>4.4053339999999998E-4</v>
      </c>
      <c r="G28" s="50">
        <v>4.4853599999999998E-4</v>
      </c>
      <c r="H28" s="50">
        <v>4.5732640000000001E-4</v>
      </c>
      <c r="I28" s="50">
        <v>4.767611E-4</v>
      </c>
      <c r="J28" s="50">
        <v>4.982656E-4</v>
      </c>
      <c r="K28" s="50">
        <v>5.2083529999999998E-4</v>
      </c>
      <c r="L28" s="50">
        <v>5.4430709999999998E-4</v>
      </c>
      <c r="M28" s="50">
        <v>5.6813169999999995E-4</v>
      </c>
      <c r="N28" s="50">
        <v>6.2716050000000004E-4</v>
      </c>
      <c r="O28" s="50">
        <v>6.8508399999999998E-4</v>
      </c>
      <c r="P28" s="50">
        <v>7.4139319999999998E-4</v>
      </c>
      <c r="Q28" s="50">
        <v>7.9548010000000003E-4</v>
      </c>
      <c r="R28" s="50">
        <v>8.4730549999999997E-4</v>
      </c>
      <c r="S28" s="50">
        <v>8.9698209999999998E-4</v>
      </c>
      <c r="T28" s="50">
        <v>9.4556740000000005E-4</v>
      </c>
      <c r="U28" s="50">
        <v>9.9437260000000008E-4</v>
      </c>
      <c r="V28" s="85">
        <v>1.043181E-3</v>
      </c>
      <c r="W28" s="50">
        <v>1.1072149999999999E-3</v>
      </c>
      <c r="X28" s="50">
        <v>1.2157730000000001E-3</v>
      </c>
    </row>
    <row r="29" spans="1:24" x14ac:dyDescent="0.3">
      <c r="A29" s="150"/>
      <c r="B29" s="2" t="s">
        <v>14</v>
      </c>
      <c r="C29" s="83">
        <v>7.3898020000000004E-5</v>
      </c>
      <c r="D29" s="83">
        <v>7.4763600000000004E-5</v>
      </c>
      <c r="E29" s="83">
        <v>7.5812579999999998E-5</v>
      </c>
      <c r="F29" s="83">
        <v>7.7001499999999998E-5</v>
      </c>
      <c r="G29" s="83">
        <v>7.8370359999999995E-5</v>
      </c>
      <c r="H29" s="83">
        <v>7.9866969999999997E-5</v>
      </c>
      <c r="I29" s="83">
        <v>8.3160320000000005E-5</v>
      </c>
      <c r="J29" s="83">
        <v>8.6790149999999998E-5</v>
      </c>
      <c r="K29" s="83">
        <v>9.0587109999999999E-5</v>
      </c>
      <c r="L29" s="83">
        <v>9.4527599999999999E-5</v>
      </c>
      <c r="M29" s="83">
        <v>9.8519490000000004E-5</v>
      </c>
      <c r="N29" s="50">
        <v>1.08381E-4</v>
      </c>
      <c r="O29" s="50">
        <v>1.18035E-4</v>
      </c>
      <c r="P29" s="50">
        <v>1.2740890000000001E-4</v>
      </c>
      <c r="Q29" s="50">
        <v>1.364065E-4</v>
      </c>
      <c r="R29" s="50">
        <v>1.4502370000000001E-4</v>
      </c>
      <c r="S29" s="50">
        <v>1.532812E-4</v>
      </c>
      <c r="T29" s="50">
        <v>1.613586E-4</v>
      </c>
      <c r="U29" s="50">
        <v>1.6947760000000001E-4</v>
      </c>
      <c r="V29" s="85">
        <v>1.7760580000000001E-4</v>
      </c>
      <c r="W29" s="50">
        <v>1.882962E-4</v>
      </c>
      <c r="X29" s="50">
        <v>2.065325E-4</v>
      </c>
    </row>
    <row r="30" spans="1:24" x14ac:dyDescent="0.3">
      <c r="A30" s="150"/>
      <c r="B30" s="2" t="s">
        <v>15</v>
      </c>
      <c r="C30" s="50">
        <v>0.11666219999999999</v>
      </c>
      <c r="D30" s="50">
        <v>0.1167021</v>
      </c>
      <c r="E30" s="50">
        <v>0.1167415</v>
      </c>
      <c r="F30" s="50">
        <v>0.1167803</v>
      </c>
      <c r="G30" s="50">
        <v>0.11681320000000001</v>
      </c>
      <c r="H30" s="50">
        <v>0.1168496</v>
      </c>
      <c r="I30" s="50">
        <v>0.1169048</v>
      </c>
      <c r="J30" s="50">
        <v>0.1169722</v>
      </c>
      <c r="K30" s="50">
        <v>0.11704299999999999</v>
      </c>
      <c r="L30" s="50">
        <v>0.117162</v>
      </c>
      <c r="M30" s="50">
        <v>0.1174775</v>
      </c>
      <c r="N30" s="50">
        <v>0.1204749</v>
      </c>
      <c r="O30" s="50">
        <v>0.1236776</v>
      </c>
      <c r="P30" s="50">
        <v>0.12625169999999999</v>
      </c>
      <c r="Q30" s="50">
        <v>0.12832160000000001</v>
      </c>
      <c r="R30" s="50">
        <v>0.1300132</v>
      </c>
      <c r="S30" s="50">
        <v>0.13142509999999999</v>
      </c>
      <c r="T30" s="50">
        <v>0.1326339</v>
      </c>
      <c r="U30" s="50">
        <v>0.1337082</v>
      </c>
      <c r="V30" s="85">
        <v>0.1346609</v>
      </c>
      <c r="W30" s="50">
        <v>0.13574530000000001</v>
      </c>
      <c r="X30" s="50">
        <v>0.1372216</v>
      </c>
    </row>
    <row r="31" spans="1:24" x14ac:dyDescent="0.3">
      <c r="A31" s="150"/>
      <c r="B31" s="2" t="s">
        <v>61</v>
      </c>
      <c r="C31" s="83">
        <v>2.673358E-5</v>
      </c>
      <c r="D31" s="83">
        <v>2.654233E-5</v>
      </c>
      <c r="E31" s="83">
        <v>2.6384550000000001E-5</v>
      </c>
      <c r="F31" s="83">
        <v>2.6248859999999999E-5</v>
      </c>
      <c r="G31" s="83">
        <v>2.6127909999999998E-5</v>
      </c>
      <c r="H31" s="83">
        <v>2.6022810000000002E-5</v>
      </c>
      <c r="I31" s="83">
        <v>2.583637E-5</v>
      </c>
      <c r="J31" s="83">
        <v>2.568943E-5</v>
      </c>
      <c r="K31" s="83">
        <v>2.55695E-5</v>
      </c>
      <c r="L31" s="83">
        <v>2.5491E-5</v>
      </c>
      <c r="M31" s="83">
        <v>2.5513449999999999E-5</v>
      </c>
      <c r="N31" s="83">
        <v>2.6565999999999999E-5</v>
      </c>
      <c r="O31" s="83">
        <v>2.7776260000000001E-5</v>
      </c>
      <c r="P31" s="83">
        <v>2.8764009999999998E-5</v>
      </c>
      <c r="Q31" s="83">
        <v>2.9566140000000001E-5</v>
      </c>
      <c r="R31" s="83">
        <v>3.022723E-5</v>
      </c>
      <c r="S31" s="83">
        <v>3.0782720000000001E-5</v>
      </c>
      <c r="T31" s="83">
        <v>3.1260770000000002E-5</v>
      </c>
      <c r="U31" s="83">
        <v>3.1688830000000003E-5</v>
      </c>
      <c r="V31" s="87">
        <v>3.2072200000000001E-5</v>
      </c>
      <c r="W31" s="83">
        <v>3.251592E-5</v>
      </c>
      <c r="X31" s="83">
        <v>3.3142170000000001E-5</v>
      </c>
    </row>
    <row r="32" spans="1:24" x14ac:dyDescent="0.3">
      <c r="A32" s="150" t="s">
        <v>27</v>
      </c>
      <c r="B32" s="12" t="s">
        <v>35</v>
      </c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85"/>
      <c r="W32" s="50"/>
      <c r="X32" s="50"/>
    </row>
    <row r="33" spans="1:24" x14ac:dyDescent="0.3">
      <c r="A33" s="150"/>
      <c r="B33" s="2" t="s">
        <v>11</v>
      </c>
      <c r="C33" s="50">
        <v>0.75073970000000001</v>
      </c>
      <c r="D33" s="50">
        <v>0.75077799999999995</v>
      </c>
      <c r="E33" s="50">
        <v>0.7508068</v>
      </c>
      <c r="F33" s="50">
        <v>0.75082360000000004</v>
      </c>
      <c r="G33" s="50">
        <v>0.75083230000000001</v>
      </c>
      <c r="H33" s="50">
        <v>0.75081949999999997</v>
      </c>
      <c r="I33" s="50">
        <v>0.75078730000000005</v>
      </c>
      <c r="J33" s="50">
        <v>0.750691</v>
      </c>
      <c r="K33" s="50">
        <v>0.75056239999999996</v>
      </c>
      <c r="L33" s="50">
        <v>0.75032639999999995</v>
      </c>
      <c r="M33" s="50">
        <v>0.74972660000000002</v>
      </c>
      <c r="N33" s="50">
        <v>0.74427929999999998</v>
      </c>
      <c r="O33" s="50">
        <v>0.73848429999999998</v>
      </c>
      <c r="P33" s="50">
        <v>0.73381790000000002</v>
      </c>
      <c r="Q33" s="50">
        <v>0.73005229999999999</v>
      </c>
      <c r="R33" s="50">
        <v>0.72696099999999997</v>
      </c>
      <c r="S33" s="50">
        <v>0.72436730000000005</v>
      </c>
      <c r="T33" s="50">
        <v>0.72213159999999998</v>
      </c>
      <c r="U33" s="50">
        <v>0.7201282</v>
      </c>
      <c r="V33" s="85">
        <v>0.71833259999999999</v>
      </c>
      <c r="W33" s="50">
        <v>0.71625260000000002</v>
      </c>
      <c r="X33" s="50">
        <v>0.71330680000000002</v>
      </c>
    </row>
    <row r="34" spans="1:24" x14ac:dyDescent="0.3">
      <c r="A34" s="150"/>
      <c r="B34" s="2" t="s">
        <v>12</v>
      </c>
      <c r="C34" s="50">
        <v>4.2395970000000003E-3</v>
      </c>
      <c r="D34" s="50">
        <v>4.134581E-3</v>
      </c>
      <c r="E34" s="50">
        <v>4.0374139999999996E-3</v>
      </c>
      <c r="F34" s="50">
        <v>3.951151E-3</v>
      </c>
      <c r="G34" s="50">
        <v>3.8801249999999999E-3</v>
      </c>
      <c r="H34" s="50">
        <v>3.8217870000000001E-3</v>
      </c>
      <c r="I34" s="50">
        <v>3.7373160000000001E-3</v>
      </c>
      <c r="J34" s="50">
        <v>3.6880089999999999E-3</v>
      </c>
      <c r="K34" s="50">
        <v>3.661292E-3</v>
      </c>
      <c r="L34" s="50">
        <v>3.6522590000000001E-3</v>
      </c>
      <c r="M34" s="50">
        <v>3.6541849999999999E-3</v>
      </c>
      <c r="N34" s="50">
        <v>3.677442E-3</v>
      </c>
      <c r="O34" s="50">
        <v>3.725407E-3</v>
      </c>
      <c r="P34" s="50">
        <v>3.7890559999999998E-3</v>
      </c>
      <c r="Q34" s="50">
        <v>3.859777E-3</v>
      </c>
      <c r="R34" s="50">
        <v>3.9329660000000004E-3</v>
      </c>
      <c r="S34" s="50">
        <v>4.0065259999999998E-3</v>
      </c>
      <c r="T34" s="50">
        <v>4.0816639999999996E-3</v>
      </c>
      <c r="U34" s="50">
        <v>4.1608829999999998E-3</v>
      </c>
      <c r="V34" s="85">
        <v>4.2449769999999996E-3</v>
      </c>
      <c r="W34" s="50">
        <v>4.3667009999999997E-3</v>
      </c>
      <c r="X34" s="50">
        <v>4.6149590000000001E-3</v>
      </c>
    </row>
    <row r="35" spans="1:24" x14ac:dyDescent="0.3">
      <c r="A35" s="150"/>
      <c r="B35" s="2" t="s">
        <v>13</v>
      </c>
      <c r="C35" s="50">
        <v>5.6928860000000003E-4</v>
      </c>
      <c r="D35" s="50">
        <v>5.7586979999999996E-4</v>
      </c>
      <c r="E35" s="50">
        <v>5.8395280000000005E-4</v>
      </c>
      <c r="F35" s="50">
        <v>5.9320640000000001E-4</v>
      </c>
      <c r="G35" s="50">
        <v>6.0393580000000005E-4</v>
      </c>
      <c r="H35" s="50">
        <v>6.1572470000000002E-4</v>
      </c>
      <c r="I35" s="50">
        <v>6.4181549999999996E-4</v>
      </c>
      <c r="J35" s="50">
        <v>6.7068620000000005E-4</v>
      </c>
      <c r="K35" s="50">
        <v>7.0098760000000002E-4</v>
      </c>
      <c r="L35" s="50">
        <v>7.3245799999999996E-4</v>
      </c>
      <c r="M35" s="50">
        <v>7.6421150000000005E-4</v>
      </c>
      <c r="N35" s="50">
        <v>8.4048770000000003E-4</v>
      </c>
      <c r="O35" s="50">
        <v>9.1450699999999995E-4</v>
      </c>
      <c r="P35" s="50">
        <v>9.865640000000001E-4</v>
      </c>
      <c r="Q35" s="50">
        <v>1.055874E-3</v>
      </c>
      <c r="R35" s="50">
        <v>1.12236E-3</v>
      </c>
      <c r="S35" s="50">
        <v>1.186138E-3</v>
      </c>
      <c r="T35" s="50">
        <v>1.248566E-3</v>
      </c>
      <c r="U35" s="50">
        <v>1.311319E-3</v>
      </c>
      <c r="V35" s="85">
        <v>1.374119E-3</v>
      </c>
      <c r="W35" s="50">
        <v>1.4565909999999999E-3</v>
      </c>
      <c r="X35" s="50">
        <v>1.5966509999999999E-3</v>
      </c>
    </row>
    <row r="36" spans="1:24" x14ac:dyDescent="0.3">
      <c r="A36" s="150"/>
      <c r="B36" s="2" t="s">
        <v>14</v>
      </c>
      <c r="C36" s="83">
        <v>8.7141149999999995E-5</v>
      </c>
      <c r="D36" s="83">
        <v>8.8153029999999996E-5</v>
      </c>
      <c r="E36" s="83">
        <v>8.9381259999999995E-5</v>
      </c>
      <c r="F36" s="83">
        <v>9.0774720000000005E-5</v>
      </c>
      <c r="G36" s="83">
        <v>9.2381270000000001E-5</v>
      </c>
      <c r="H36" s="83">
        <v>9.4138260000000004E-5</v>
      </c>
      <c r="I36" s="83">
        <v>9.8008600000000002E-5</v>
      </c>
      <c r="J36" s="50">
        <v>1.0227460000000001E-4</v>
      </c>
      <c r="K36" s="50">
        <v>1.06737E-4</v>
      </c>
      <c r="L36" s="50">
        <v>1.113617E-4</v>
      </c>
      <c r="M36" s="50">
        <v>1.16018E-4</v>
      </c>
      <c r="N36" s="50">
        <v>1.2715820000000001E-4</v>
      </c>
      <c r="O36" s="50">
        <v>1.379408E-4</v>
      </c>
      <c r="P36" s="50">
        <v>1.484278E-4</v>
      </c>
      <c r="Q36" s="50">
        <v>1.5851E-4</v>
      </c>
      <c r="R36" s="50">
        <v>1.681783E-4</v>
      </c>
      <c r="S36" s="50">
        <v>1.7745120000000001E-4</v>
      </c>
      <c r="T36" s="50">
        <v>1.865305E-4</v>
      </c>
      <c r="U36" s="50">
        <v>1.9566369999999999E-4</v>
      </c>
      <c r="V36" s="85">
        <v>2.048144E-4</v>
      </c>
      <c r="W36" s="50">
        <v>2.1686329999999999E-4</v>
      </c>
      <c r="X36" s="50">
        <v>2.3745680000000001E-4</v>
      </c>
    </row>
    <row r="37" spans="1:24" x14ac:dyDescent="0.3">
      <c r="A37" s="150"/>
      <c r="B37" s="2" t="s">
        <v>15</v>
      </c>
      <c r="C37" s="50">
        <v>0.24435589999999999</v>
      </c>
      <c r="D37" s="50">
        <v>0.24441499999999999</v>
      </c>
      <c r="E37" s="50">
        <v>0.244474</v>
      </c>
      <c r="F37" s="50">
        <v>0.244533</v>
      </c>
      <c r="G37" s="50">
        <v>0.24458299999999999</v>
      </c>
      <c r="H37" s="50">
        <v>0.24464050000000001</v>
      </c>
      <c r="I37" s="50">
        <v>0.24472740000000001</v>
      </c>
      <c r="J37" s="50">
        <v>0.2448398</v>
      </c>
      <c r="K37" s="50">
        <v>0.2449605</v>
      </c>
      <c r="L37" s="50">
        <v>0.24516950000000001</v>
      </c>
      <c r="M37" s="50">
        <v>0.245731</v>
      </c>
      <c r="N37" s="50">
        <v>0.25106729999999999</v>
      </c>
      <c r="O37" s="50">
        <v>0.25672919999999999</v>
      </c>
      <c r="P37" s="50">
        <v>0.26124900000000001</v>
      </c>
      <c r="Q37" s="50">
        <v>0.2648644</v>
      </c>
      <c r="R37" s="50">
        <v>0.26780619999999999</v>
      </c>
      <c r="S37" s="50">
        <v>0.27025300000000002</v>
      </c>
      <c r="T37" s="50">
        <v>0.27234190000000003</v>
      </c>
      <c r="U37" s="50">
        <v>0.2741941</v>
      </c>
      <c r="V37" s="85">
        <v>0.27583350000000001</v>
      </c>
      <c r="W37" s="50">
        <v>0.27769719999999998</v>
      </c>
      <c r="X37" s="50">
        <v>0.28023399999999998</v>
      </c>
    </row>
    <row r="38" spans="1:24" x14ac:dyDescent="0.3">
      <c r="A38" s="150"/>
      <c r="B38" s="2" t="s">
        <v>61</v>
      </c>
      <c r="C38" s="83">
        <v>8.4652330000000001E-6</v>
      </c>
      <c r="D38" s="83">
        <v>8.4038319999999999E-6</v>
      </c>
      <c r="E38" s="83">
        <v>8.3530729999999992E-6</v>
      </c>
      <c r="F38" s="83">
        <v>8.3093580000000005E-6</v>
      </c>
      <c r="G38" s="83">
        <v>8.2704320000000005E-6</v>
      </c>
      <c r="H38" s="83">
        <v>8.2365339999999995E-6</v>
      </c>
      <c r="I38" s="83">
        <v>8.1765659999999993E-6</v>
      </c>
      <c r="J38" s="83">
        <v>8.1291089999999994E-6</v>
      </c>
      <c r="K38" s="83">
        <v>8.0902549999999997E-6</v>
      </c>
      <c r="L38" s="83">
        <v>8.0640960000000003E-6</v>
      </c>
      <c r="M38" s="83">
        <v>8.0679589999999992E-6</v>
      </c>
      <c r="N38" s="83">
        <v>8.3696800000000008E-6</v>
      </c>
      <c r="O38" s="83">
        <v>8.7165980000000001E-6</v>
      </c>
      <c r="P38" s="83">
        <v>8.9982079999999999E-6</v>
      </c>
      <c r="Q38" s="83">
        <v>9.2258719999999993E-6</v>
      </c>
      <c r="R38" s="83">
        <v>9.4128400000000002E-6</v>
      </c>
      <c r="S38" s="83">
        <v>9.5694849999999994E-6</v>
      </c>
      <c r="T38" s="83">
        <v>9.7039560000000002E-6</v>
      </c>
      <c r="U38" s="83">
        <v>9.8241600000000005E-6</v>
      </c>
      <c r="V38" s="87">
        <v>9.9316979999999997E-6</v>
      </c>
      <c r="W38" s="83">
        <v>1.005615E-5</v>
      </c>
      <c r="X38" s="83">
        <v>1.0232189999999999E-5</v>
      </c>
    </row>
  </sheetData>
  <mergeCells count="2">
    <mergeCell ref="A25:A31"/>
    <mergeCell ref="A32:A38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8"/>
  <sheetViews>
    <sheetView topLeftCell="A19" zoomScale="80" zoomScaleNormal="80" workbookViewId="0">
      <selection activeCell="AF11" sqref="AF11"/>
    </sheetView>
  </sheetViews>
  <sheetFormatPr defaultRowHeight="15.6" x14ac:dyDescent="0.3"/>
  <cols>
    <col min="1" max="1" width="43.69921875" customWidth="1"/>
    <col min="2" max="2" width="20.19921875" customWidth="1"/>
    <col min="25" max="25" width="8.796875" style="24"/>
  </cols>
  <sheetData>
    <row r="1" spans="1:28" x14ac:dyDescent="0.3">
      <c r="A1" s="61" t="s">
        <v>0</v>
      </c>
      <c r="B1" s="62" t="s">
        <v>8</v>
      </c>
      <c r="C1" s="65">
        <v>0.1</v>
      </c>
    </row>
    <row r="2" spans="1:28" x14ac:dyDescent="0.3">
      <c r="A2" s="3" t="s">
        <v>17</v>
      </c>
      <c r="B2" s="2" t="s">
        <v>1</v>
      </c>
      <c r="C2" s="2">
        <v>40</v>
      </c>
      <c r="D2" s="2">
        <v>40</v>
      </c>
      <c r="E2" s="2">
        <v>40</v>
      </c>
      <c r="F2" s="2">
        <v>40</v>
      </c>
      <c r="G2" s="2">
        <v>40</v>
      </c>
      <c r="H2" s="2">
        <v>40</v>
      </c>
      <c r="I2" s="2">
        <v>40</v>
      </c>
      <c r="J2" s="2">
        <v>40</v>
      </c>
      <c r="K2" s="2">
        <v>40</v>
      </c>
      <c r="L2" s="2">
        <v>40</v>
      </c>
      <c r="M2" s="2">
        <v>40</v>
      </c>
      <c r="N2" s="2">
        <v>40</v>
      </c>
      <c r="O2" s="2">
        <v>40</v>
      </c>
      <c r="P2" s="2">
        <v>40</v>
      </c>
      <c r="Q2" s="2">
        <v>40</v>
      </c>
      <c r="R2" s="2">
        <v>40</v>
      </c>
      <c r="S2" s="2">
        <v>40</v>
      </c>
      <c r="T2" s="2">
        <v>40</v>
      </c>
      <c r="U2" s="2">
        <v>40</v>
      </c>
      <c r="V2" s="2">
        <v>40</v>
      </c>
      <c r="W2" s="2">
        <v>40</v>
      </c>
      <c r="X2" s="2">
        <v>40</v>
      </c>
      <c r="Y2" s="25">
        <v>40</v>
      </c>
      <c r="Z2" s="2">
        <v>40</v>
      </c>
      <c r="AA2" s="2">
        <v>40</v>
      </c>
      <c r="AB2" s="2">
        <v>40</v>
      </c>
    </row>
    <row r="3" spans="1:28" x14ac:dyDescent="0.3">
      <c r="A3" s="3" t="s">
        <v>16</v>
      </c>
      <c r="B3" s="2" t="s">
        <v>2</v>
      </c>
      <c r="C3" s="2">
        <v>1.0129999999999999</v>
      </c>
      <c r="D3" s="2">
        <v>1.0129999999999999</v>
      </c>
      <c r="E3" s="2">
        <v>1.0129999999999999</v>
      </c>
      <c r="F3" s="2">
        <v>1.0129999999999999</v>
      </c>
      <c r="G3" s="2">
        <v>1.0129999999999999</v>
      </c>
      <c r="H3" s="2">
        <v>1.0129999999999999</v>
      </c>
      <c r="I3" s="2">
        <v>1.0129999999999999</v>
      </c>
      <c r="J3" s="2">
        <v>1.0129999999999999</v>
      </c>
      <c r="K3" s="2">
        <v>1.0129999999999999</v>
      </c>
      <c r="L3" s="2">
        <v>1.0129999999999999</v>
      </c>
      <c r="M3" s="2">
        <v>1.0129999999999999</v>
      </c>
      <c r="N3" s="2">
        <v>1.0129999999999999</v>
      </c>
      <c r="O3" s="2">
        <v>1.0129999999999999</v>
      </c>
      <c r="P3" s="2">
        <v>1.0129999999999999</v>
      </c>
      <c r="Q3" s="2">
        <v>1.0129999999999999</v>
      </c>
      <c r="R3" s="2">
        <v>1.0129999999999999</v>
      </c>
      <c r="S3" s="2">
        <v>1.0129999999999999</v>
      </c>
      <c r="T3" s="2">
        <v>1.0129999999999999</v>
      </c>
      <c r="U3" s="2">
        <v>1.0129999999999999</v>
      </c>
      <c r="V3" s="2">
        <v>1.0129999999999999</v>
      </c>
      <c r="W3" s="2">
        <v>1.0129999999999999</v>
      </c>
      <c r="X3" s="2">
        <v>1.0129999999999999</v>
      </c>
      <c r="Y3" s="25">
        <v>1.0129999999999999</v>
      </c>
      <c r="Z3" s="2">
        <v>1.0129999999999999</v>
      </c>
      <c r="AA3" s="2">
        <v>1.0129999999999999</v>
      </c>
      <c r="AB3" s="2">
        <v>1.0129999999999999</v>
      </c>
    </row>
    <row r="4" spans="1:28" x14ac:dyDescent="0.3">
      <c r="A4" s="3" t="s">
        <v>3</v>
      </c>
      <c r="B4" s="2" t="s">
        <v>1</v>
      </c>
      <c r="C4" s="2">
        <v>40</v>
      </c>
      <c r="D4" s="2">
        <v>40</v>
      </c>
      <c r="E4" s="2">
        <v>40</v>
      </c>
      <c r="F4" s="2">
        <v>40</v>
      </c>
      <c r="G4" s="2">
        <v>40</v>
      </c>
      <c r="H4" s="2">
        <v>40</v>
      </c>
      <c r="I4" s="2">
        <v>40</v>
      </c>
      <c r="J4" s="2">
        <v>40</v>
      </c>
      <c r="K4" s="2">
        <v>40</v>
      </c>
      <c r="L4" s="2">
        <v>40</v>
      </c>
      <c r="M4" s="2">
        <v>40</v>
      </c>
      <c r="N4" s="2">
        <v>40</v>
      </c>
      <c r="O4" s="2">
        <v>40</v>
      </c>
      <c r="P4" s="2">
        <v>40</v>
      </c>
      <c r="Q4" s="2">
        <v>40</v>
      </c>
      <c r="R4" s="2">
        <v>40</v>
      </c>
      <c r="S4" s="2">
        <v>40</v>
      </c>
      <c r="T4" s="2">
        <v>40</v>
      </c>
      <c r="U4" s="2">
        <v>40</v>
      </c>
      <c r="V4" s="2">
        <v>40</v>
      </c>
      <c r="W4" s="2">
        <v>40</v>
      </c>
      <c r="X4" s="2">
        <v>40</v>
      </c>
      <c r="Y4" s="25">
        <v>40</v>
      </c>
      <c r="Z4" s="2">
        <v>40</v>
      </c>
      <c r="AA4" s="2">
        <v>40</v>
      </c>
      <c r="AB4" s="2">
        <v>40</v>
      </c>
    </row>
    <row r="5" spans="1:28" x14ac:dyDescent="0.3">
      <c r="A5" s="3" t="s">
        <v>18</v>
      </c>
      <c r="B5" s="2" t="s">
        <v>2</v>
      </c>
      <c r="C5" s="2">
        <v>1.0129999999999999</v>
      </c>
      <c r="D5" s="2">
        <v>1.0129999999999999</v>
      </c>
      <c r="E5" s="2">
        <v>1.0129999999999999</v>
      </c>
      <c r="F5" s="2">
        <v>1.0129999999999999</v>
      </c>
      <c r="G5" s="2">
        <v>1.0129999999999999</v>
      </c>
      <c r="H5" s="2">
        <v>1.0129999999999999</v>
      </c>
      <c r="I5" s="2">
        <v>1.0129999999999999</v>
      </c>
      <c r="J5" s="2">
        <v>1.0129999999999999</v>
      </c>
      <c r="K5" s="2">
        <v>1.0129999999999999</v>
      </c>
      <c r="L5" s="2">
        <v>1.0129999999999999</v>
      </c>
      <c r="M5" s="2">
        <v>1.0129999999999999</v>
      </c>
      <c r="N5" s="2">
        <v>1.0129999999999999</v>
      </c>
      <c r="O5" s="2">
        <v>1.0129999999999999</v>
      </c>
      <c r="P5" s="2">
        <v>1.0129999999999999</v>
      </c>
      <c r="Q5" s="2">
        <v>1.0129999999999999</v>
      </c>
      <c r="R5" s="2">
        <v>1.0129999999999999</v>
      </c>
      <c r="S5" s="2">
        <v>1.0129999999999999</v>
      </c>
      <c r="T5" s="2">
        <v>1.0129999999999999</v>
      </c>
      <c r="U5" s="2">
        <v>1.0129999999999999</v>
      </c>
      <c r="V5" s="2">
        <v>1.0129999999999999</v>
      </c>
      <c r="W5" s="2">
        <v>1.0129999999999999</v>
      </c>
      <c r="X5" s="2">
        <v>1.0129999999999999</v>
      </c>
      <c r="Y5" s="25">
        <v>1.0129999999999999</v>
      </c>
      <c r="Z5" s="2">
        <v>1.0129999999999999</v>
      </c>
      <c r="AA5" s="2">
        <v>1.0129999999999999</v>
      </c>
      <c r="AB5" s="2">
        <v>1.0129999999999999</v>
      </c>
    </row>
    <row r="6" spans="1:28" x14ac:dyDescent="0.3">
      <c r="A6" s="3" t="s">
        <v>4</v>
      </c>
      <c r="B6" s="2" t="s">
        <v>5</v>
      </c>
      <c r="C6" s="5">
        <f>'MEA 30%'!$C$6</f>
        <v>5050.3680000000004</v>
      </c>
      <c r="D6" s="5">
        <f>'MEA 30%'!$C$6</f>
        <v>5050.3680000000004</v>
      </c>
      <c r="E6" s="5">
        <f>'MEA 30%'!$C$6</f>
        <v>5050.3680000000004</v>
      </c>
      <c r="F6" s="5">
        <f>'MEA 30%'!$C$6</f>
        <v>5050.3680000000004</v>
      </c>
      <c r="G6" s="5">
        <f>'MEA 30%'!$C$6</f>
        <v>5050.3680000000004</v>
      </c>
      <c r="H6" s="5">
        <f>'MEA 30%'!$C$6</f>
        <v>5050.3680000000004</v>
      </c>
      <c r="I6" s="5">
        <f>'MEA 30%'!$C$6</f>
        <v>5050.3680000000004</v>
      </c>
      <c r="J6" s="5">
        <f>'MEA 30%'!$C$6</f>
        <v>5050.3680000000004</v>
      </c>
      <c r="K6" s="5">
        <f>'MEA 30%'!$C$6</f>
        <v>5050.3680000000004</v>
      </c>
      <c r="L6" s="5">
        <f>'MEA 30%'!$C$6</f>
        <v>5050.3680000000004</v>
      </c>
      <c r="M6" s="5">
        <f>'MEA 30%'!$C$6</f>
        <v>5050.3680000000004</v>
      </c>
      <c r="N6" s="5">
        <f>'MEA 30%'!$C$6</f>
        <v>5050.3680000000004</v>
      </c>
      <c r="O6" s="5">
        <f>'MEA 30%'!$C$6</f>
        <v>5050.3680000000004</v>
      </c>
      <c r="P6" s="5">
        <f>'MEA 30%'!$C$6</f>
        <v>5050.3680000000004</v>
      </c>
      <c r="Q6" s="5">
        <f>'MEA 30%'!$C$6</f>
        <v>5050.3680000000004</v>
      </c>
      <c r="R6" s="5">
        <f>'MEA 30%'!$C$6</f>
        <v>5050.3680000000004</v>
      </c>
      <c r="S6" s="5">
        <f>'MEA 30%'!$C$6</f>
        <v>5050.3680000000004</v>
      </c>
      <c r="T6" s="5">
        <f>'MEA 30%'!$C$6</f>
        <v>5050.3680000000004</v>
      </c>
      <c r="U6" s="5">
        <f>'MEA 30%'!$C$6</f>
        <v>5050.3680000000004</v>
      </c>
      <c r="V6" s="5">
        <f>'MEA 30%'!$C$6</f>
        <v>5050.3680000000004</v>
      </c>
      <c r="W6" s="5">
        <f>'MEA 30%'!$C$6</f>
        <v>5050.3680000000004</v>
      </c>
      <c r="X6" s="5">
        <f>'MEA 30%'!$C$6</f>
        <v>5050.3680000000004</v>
      </c>
      <c r="Y6" s="26">
        <f>'MEA 30%'!$C$6</f>
        <v>5050.3680000000004</v>
      </c>
      <c r="Z6" s="5">
        <f>'MEA 30%'!$C$6</f>
        <v>5050.3680000000004</v>
      </c>
      <c r="AA6" s="5">
        <f>'MEA 30%'!$C$6</f>
        <v>5050.3680000000004</v>
      </c>
      <c r="AB6" s="5">
        <f>'MEA 30%'!$C$6</f>
        <v>5050.3680000000004</v>
      </c>
    </row>
    <row r="7" spans="1:28" x14ac:dyDescent="0.3">
      <c r="A7" s="6" t="s">
        <v>6</v>
      </c>
      <c r="B7" s="22" t="s">
        <v>5</v>
      </c>
      <c r="C7" s="22">
        <f>C6*C8</f>
        <v>2525.1840000000002</v>
      </c>
      <c r="D7" s="22">
        <f t="shared" ref="D7:AA7" si="0">D6*D8</f>
        <v>3030.2208000000001</v>
      </c>
      <c r="E7" s="22">
        <f t="shared" si="0"/>
        <v>3535.2575999999999</v>
      </c>
      <c r="F7" s="22">
        <f t="shared" si="0"/>
        <v>4040.2944000000007</v>
      </c>
      <c r="G7" s="22">
        <f t="shared" si="0"/>
        <v>4545.3312000000005</v>
      </c>
      <c r="H7" s="22">
        <f t="shared" si="0"/>
        <v>5050.3680000000004</v>
      </c>
      <c r="I7" s="22">
        <f t="shared" si="0"/>
        <v>5555.4048000000012</v>
      </c>
      <c r="J7" s="22">
        <f t="shared" si="0"/>
        <v>6060.4416000000001</v>
      </c>
      <c r="K7" s="22">
        <f t="shared" si="0"/>
        <v>6565.4784000000009</v>
      </c>
      <c r="L7" s="22">
        <f t="shared" si="0"/>
        <v>7070.5151999999998</v>
      </c>
      <c r="M7" s="22">
        <f t="shared" si="0"/>
        <v>7575.5520000000006</v>
      </c>
      <c r="N7" s="22">
        <f t="shared" si="0"/>
        <v>8080.5888000000014</v>
      </c>
      <c r="O7" s="22">
        <f t="shared" si="0"/>
        <v>8585.6256000000012</v>
      </c>
      <c r="P7" s="22">
        <f t="shared" si="0"/>
        <v>9090.6624000000011</v>
      </c>
      <c r="Q7" s="22">
        <f t="shared" si="0"/>
        <v>9595.6992000000009</v>
      </c>
      <c r="R7" s="22">
        <f t="shared" si="0"/>
        <v>10100.736000000001</v>
      </c>
      <c r="S7" s="22">
        <f t="shared" si="0"/>
        <v>11110.809600000002</v>
      </c>
      <c r="T7" s="22">
        <f t="shared" si="0"/>
        <v>12120.8832</v>
      </c>
      <c r="U7" s="22">
        <f t="shared" si="0"/>
        <v>13130.956800000002</v>
      </c>
      <c r="V7" s="22">
        <f t="shared" si="0"/>
        <v>14141.0304</v>
      </c>
      <c r="W7" s="22">
        <f t="shared" si="0"/>
        <v>15151.104000000001</v>
      </c>
      <c r="X7" s="22">
        <f t="shared" si="0"/>
        <v>16161.177600000003</v>
      </c>
      <c r="Y7" s="25">
        <v>17115.25</v>
      </c>
      <c r="Z7" s="22">
        <f t="shared" si="0"/>
        <v>18181.324800000002</v>
      </c>
      <c r="AA7" s="22">
        <f t="shared" si="0"/>
        <v>19191.398400000002</v>
      </c>
      <c r="AB7" s="22">
        <f>AB6*AB8</f>
        <v>20201.472000000002</v>
      </c>
    </row>
    <row r="8" spans="1:28" x14ac:dyDescent="0.3">
      <c r="A8" s="3" t="s">
        <v>7</v>
      </c>
      <c r="B8" s="2" t="s">
        <v>29</v>
      </c>
      <c r="C8" s="29">
        <v>0.5</v>
      </c>
      <c r="D8" s="29">
        <v>0.6</v>
      </c>
      <c r="E8" s="29">
        <v>0.7</v>
      </c>
      <c r="F8" s="29">
        <v>0.8</v>
      </c>
      <c r="G8" s="29">
        <v>0.9</v>
      </c>
      <c r="H8" s="29">
        <v>1</v>
      </c>
      <c r="I8" s="29">
        <v>1.1000000000000001</v>
      </c>
      <c r="J8" s="29">
        <v>1.2</v>
      </c>
      <c r="K8" s="29">
        <v>1.3</v>
      </c>
      <c r="L8" s="29">
        <v>1.4</v>
      </c>
      <c r="M8" s="29">
        <v>1.5</v>
      </c>
      <c r="N8" s="29">
        <v>1.6</v>
      </c>
      <c r="O8" s="29">
        <v>1.7</v>
      </c>
      <c r="P8" s="29">
        <v>1.8</v>
      </c>
      <c r="Q8" s="29">
        <v>1.9</v>
      </c>
      <c r="R8" s="29">
        <v>2</v>
      </c>
      <c r="S8" s="29">
        <v>2.2000000000000002</v>
      </c>
      <c r="T8" s="29">
        <v>2.4</v>
      </c>
      <c r="U8" s="29">
        <v>2.6</v>
      </c>
      <c r="V8" s="29">
        <v>2.8</v>
      </c>
      <c r="W8" s="29">
        <v>3</v>
      </c>
      <c r="X8" s="29">
        <v>3.2</v>
      </c>
      <c r="Y8" s="25">
        <f>Y7/Y6</f>
        <v>3.3889114615014191</v>
      </c>
      <c r="Z8" s="29">
        <v>3.6</v>
      </c>
      <c r="AA8" s="29">
        <v>3.8</v>
      </c>
      <c r="AB8" s="29">
        <v>4</v>
      </c>
    </row>
    <row r="9" spans="1:28" ht="18" x14ac:dyDescent="0.4">
      <c r="A9" s="3" t="s">
        <v>32</v>
      </c>
      <c r="B9" s="2" t="s">
        <v>5</v>
      </c>
      <c r="C9" s="1">
        <v>802.09379999999999</v>
      </c>
      <c r="D9" s="1">
        <v>802.09379999999999</v>
      </c>
      <c r="E9" s="1">
        <v>802.09379999999999</v>
      </c>
      <c r="F9" s="1">
        <v>802.09379999999999</v>
      </c>
      <c r="G9" s="1">
        <v>802.09379999999999</v>
      </c>
      <c r="H9" s="1">
        <v>802.09379999999999</v>
      </c>
      <c r="I9" s="1">
        <v>802.09379999999999</v>
      </c>
      <c r="J9" s="1">
        <v>802.09379999999999</v>
      </c>
      <c r="K9" s="1">
        <v>802.09379999999999</v>
      </c>
      <c r="L9" s="1">
        <v>802.09379999999999</v>
      </c>
      <c r="M9" s="1">
        <v>802.09379999999999</v>
      </c>
      <c r="N9" s="1">
        <v>802.09379999999999</v>
      </c>
      <c r="O9" s="1">
        <v>802.09379999999999</v>
      </c>
      <c r="P9" s="1">
        <v>802.09379999999999</v>
      </c>
      <c r="Q9" s="1">
        <v>802.09379999999999</v>
      </c>
      <c r="R9" s="1">
        <v>802.09379999999999</v>
      </c>
      <c r="S9" s="1">
        <v>802.09379999999999</v>
      </c>
      <c r="T9" s="1">
        <v>802.09379999999999</v>
      </c>
      <c r="U9" s="1">
        <v>802.09379999999999</v>
      </c>
      <c r="V9" s="1">
        <v>802.09379999999999</v>
      </c>
      <c r="W9" s="1">
        <v>802.09379999999999</v>
      </c>
      <c r="X9" s="1">
        <v>802.09379999999999</v>
      </c>
      <c r="Y9" s="32">
        <v>802.09379999999999</v>
      </c>
      <c r="Z9" s="1">
        <v>802.09379999999999</v>
      </c>
      <c r="AA9" s="1">
        <v>802.09379999999999</v>
      </c>
      <c r="AB9" s="1">
        <v>802.09379999999999</v>
      </c>
    </row>
    <row r="10" spans="1:28" ht="18" x14ac:dyDescent="0.4">
      <c r="A10" s="3" t="s">
        <v>33</v>
      </c>
      <c r="B10" s="2" t="s">
        <v>5</v>
      </c>
      <c r="C10" s="1">
        <v>684.03290000000004</v>
      </c>
      <c r="D10" s="1">
        <v>660.83069999999998</v>
      </c>
      <c r="E10" s="1">
        <v>637.86699999999996</v>
      </c>
      <c r="F10" s="1">
        <v>615.13760000000002</v>
      </c>
      <c r="G10" s="1">
        <v>592.63710000000003</v>
      </c>
      <c r="H10" s="1">
        <v>570.35</v>
      </c>
      <c r="I10" s="1">
        <v>548.27059999999994</v>
      </c>
      <c r="J10" s="1">
        <v>526.37180000000001</v>
      </c>
      <c r="K10" s="1">
        <v>504.65809999999999</v>
      </c>
      <c r="L10" s="1">
        <v>483.11590000000001</v>
      </c>
      <c r="M10" s="1">
        <v>461.72519999999997</v>
      </c>
      <c r="N10" s="1">
        <v>440.48079999999999</v>
      </c>
      <c r="O10" s="1">
        <v>419.37329999999997</v>
      </c>
      <c r="P10" s="1">
        <v>398.41469999999998</v>
      </c>
      <c r="Q10" s="1">
        <v>377.56639999999999</v>
      </c>
      <c r="R10" s="1">
        <v>356.85430000000002</v>
      </c>
      <c r="S10" s="1">
        <v>315.76260000000002</v>
      </c>
      <c r="T10" s="1">
        <v>275.09980000000002</v>
      </c>
      <c r="U10" s="1">
        <v>234.80179999999999</v>
      </c>
      <c r="V10" s="1">
        <v>194.94069999999999</v>
      </c>
      <c r="W10" s="1">
        <v>155.48769999999999</v>
      </c>
      <c r="X10" s="1">
        <v>116.49039999999999</v>
      </c>
      <c r="Y10" s="32">
        <v>80.185730000000007</v>
      </c>
      <c r="Z10" s="1">
        <v>40.594700000000003</v>
      </c>
      <c r="AA10" s="1">
        <v>6.6359339999999998</v>
      </c>
      <c r="AB10" s="35">
        <v>7.664714E-7</v>
      </c>
    </row>
    <row r="11" spans="1:28" x14ac:dyDescent="0.3">
      <c r="A11" s="3" t="s">
        <v>49</v>
      </c>
      <c r="B11" s="2" t="s">
        <v>5</v>
      </c>
      <c r="C11" s="1">
        <v>118.0609</v>
      </c>
      <c r="D11" s="1">
        <v>141.26300000000001</v>
      </c>
      <c r="E11" s="1">
        <v>164.2268</v>
      </c>
      <c r="F11" s="1">
        <v>186.9562</v>
      </c>
      <c r="G11" s="1">
        <v>209.45670000000001</v>
      </c>
      <c r="H11" s="1">
        <v>231.7439</v>
      </c>
      <c r="I11" s="1">
        <v>253.82320000000001</v>
      </c>
      <c r="J11" s="1">
        <v>275.72199999999998</v>
      </c>
      <c r="K11" s="1">
        <v>297.4357</v>
      </c>
      <c r="L11" s="1">
        <v>318.97789999999998</v>
      </c>
      <c r="M11" s="1">
        <v>340.36869999999999</v>
      </c>
      <c r="N11" s="1">
        <v>361.613</v>
      </c>
      <c r="O11" s="1">
        <v>382.72050000000002</v>
      </c>
      <c r="P11" s="1">
        <v>403.67899999999997</v>
      </c>
      <c r="Q11" s="1">
        <v>424.5274</v>
      </c>
      <c r="R11" s="1">
        <v>445.23950000000002</v>
      </c>
      <c r="S11" s="1">
        <v>486.33120000000002</v>
      </c>
      <c r="T11" s="1">
        <v>526.99419999999998</v>
      </c>
      <c r="U11" s="1">
        <v>567.29190000000006</v>
      </c>
      <c r="V11" s="1">
        <v>607.15309999999999</v>
      </c>
      <c r="W11" s="1">
        <v>646.60609999999997</v>
      </c>
      <c r="X11" s="1">
        <v>685.60360000000003</v>
      </c>
      <c r="Y11" s="32">
        <v>721.90809999999999</v>
      </c>
      <c r="Z11" s="1">
        <v>761.49929999999995</v>
      </c>
      <c r="AA11" s="1">
        <v>795.4579</v>
      </c>
      <c r="AB11" s="1">
        <v>802.09370000000001</v>
      </c>
    </row>
    <row r="12" spans="1:28" ht="18" x14ac:dyDescent="0.4">
      <c r="A12" s="3" t="s">
        <v>19</v>
      </c>
      <c r="B12" s="2" t="s">
        <v>8</v>
      </c>
      <c r="C12" s="33">
        <f>(C9-C10)/C9*100</f>
        <v>14.719088964407897</v>
      </c>
      <c r="D12" s="33">
        <f t="shared" ref="D12:AB12" si="1">(D9-D10)/D9*100</f>
        <v>17.611793034679984</v>
      </c>
      <c r="E12" s="33">
        <f t="shared" si="1"/>
        <v>20.474762428035227</v>
      </c>
      <c r="F12" s="33">
        <f t="shared" si="1"/>
        <v>23.308520774004236</v>
      </c>
      <c r="G12" s="33">
        <f t="shared" si="1"/>
        <v>26.113741310554943</v>
      </c>
      <c r="H12" s="33">
        <f t="shared" si="1"/>
        <v>28.892356480002707</v>
      </c>
      <c r="I12" s="33">
        <f t="shared" si="1"/>
        <v>31.645076922424792</v>
      </c>
      <c r="J12" s="33">
        <f t="shared" si="1"/>
        <v>34.375281295030582</v>
      </c>
      <c r="K12" s="33">
        <f t="shared" si="1"/>
        <v>37.082408566180163</v>
      </c>
      <c r="L12" s="33">
        <f t="shared" si="1"/>
        <v>39.768154298163125</v>
      </c>
      <c r="M12" s="33">
        <f t="shared" si="1"/>
        <v>42.435011964934773</v>
      </c>
      <c r="N12" s="33">
        <f t="shared" si="1"/>
        <v>45.083629869723467</v>
      </c>
      <c r="O12" s="33">
        <f t="shared" si="1"/>
        <v>47.715179945288199</v>
      </c>
      <c r="P12" s="33">
        <f t="shared" si="1"/>
        <v>50.32816610725579</v>
      </c>
      <c r="Q12" s="33">
        <f t="shared" si="1"/>
        <v>52.927400760359944</v>
      </c>
      <c r="R12" s="33">
        <f t="shared" si="1"/>
        <v>55.509654855828586</v>
      </c>
      <c r="S12" s="33">
        <f t="shared" si="1"/>
        <v>60.632709042259151</v>
      </c>
      <c r="T12" s="33">
        <f t="shared" si="1"/>
        <v>65.702290679718502</v>
      </c>
      <c r="U12" s="33">
        <f t="shared" si="1"/>
        <v>70.726391352233378</v>
      </c>
      <c r="V12" s="33">
        <f t="shared" si="1"/>
        <v>75.696022086194901</v>
      </c>
      <c r="W12" s="33">
        <f t="shared" si="1"/>
        <v>80.614773484098748</v>
      </c>
      <c r="X12" s="33">
        <f t="shared" si="1"/>
        <v>85.476711077931284</v>
      </c>
      <c r="Y12" s="34">
        <f t="shared" si="1"/>
        <v>90.002948532952132</v>
      </c>
      <c r="Z12" s="33">
        <f t="shared" si="1"/>
        <v>94.93890864135841</v>
      </c>
      <c r="AA12" s="33">
        <f t="shared" si="1"/>
        <v>99.172673570098652</v>
      </c>
      <c r="AB12" s="33">
        <f t="shared" si="1"/>
        <v>99.999999904441168</v>
      </c>
    </row>
    <row r="13" spans="1:28" x14ac:dyDescent="0.3">
      <c r="A13" s="3" t="s">
        <v>20</v>
      </c>
      <c r="B13" s="2" t="s">
        <v>1</v>
      </c>
      <c r="C13" s="1">
        <v>37.604230000000001</v>
      </c>
      <c r="D13" s="1">
        <v>39.952959999999997</v>
      </c>
      <c r="E13" s="1">
        <v>41.928870000000003</v>
      </c>
      <c r="F13" s="1">
        <v>43.613199999999999</v>
      </c>
      <c r="G13" s="1">
        <v>45.066220000000001</v>
      </c>
      <c r="H13" s="1">
        <v>46.333440000000003</v>
      </c>
      <c r="I13" s="1">
        <v>47.44699</v>
      </c>
      <c r="J13" s="1">
        <v>48.434269999999998</v>
      </c>
      <c r="K13" s="1">
        <v>49.315179999999998</v>
      </c>
      <c r="L13" s="1">
        <v>50.104599999999998</v>
      </c>
      <c r="M13" s="1">
        <v>50.815519999999999</v>
      </c>
      <c r="N13" s="1">
        <v>51.458390000000001</v>
      </c>
      <c r="O13" s="1">
        <v>52.04148</v>
      </c>
      <c r="P13" s="1">
        <v>52.571159999999999</v>
      </c>
      <c r="Q13" s="1">
        <v>53.053339999999999</v>
      </c>
      <c r="R13" s="1">
        <v>53.493200000000002</v>
      </c>
      <c r="S13" s="1">
        <v>54.26014</v>
      </c>
      <c r="T13" s="1">
        <v>54.896500000000003</v>
      </c>
      <c r="U13" s="1">
        <v>55.420189999999998</v>
      </c>
      <c r="V13" s="1">
        <v>55.840820000000001</v>
      </c>
      <c r="W13" s="1">
        <v>56.163319999999999</v>
      </c>
      <c r="X13" s="1">
        <v>56.380330000000001</v>
      </c>
      <c r="Y13" s="32">
        <v>56.465510000000002</v>
      </c>
      <c r="Z13" s="1">
        <v>56.321809999999999</v>
      </c>
      <c r="AA13" s="1">
        <v>55.282409999999999</v>
      </c>
      <c r="AB13" s="1">
        <v>46.434280000000001</v>
      </c>
    </row>
    <row r="14" spans="1:28" ht="18" x14ac:dyDescent="0.4">
      <c r="A14" s="3" t="s">
        <v>21</v>
      </c>
      <c r="B14" s="2" t="s">
        <v>1</v>
      </c>
      <c r="C14" s="1">
        <v>17.26033</v>
      </c>
      <c r="D14" s="1">
        <v>18.35201</v>
      </c>
      <c r="E14" s="1">
        <v>19.542259999999999</v>
      </c>
      <c r="F14" s="1">
        <v>20.76896</v>
      </c>
      <c r="G14" s="1">
        <v>21.993130000000001</v>
      </c>
      <c r="H14" s="1">
        <v>23.192599999999999</v>
      </c>
      <c r="I14" s="1">
        <v>24.355149999999998</v>
      </c>
      <c r="J14" s="1">
        <v>25.474640000000001</v>
      </c>
      <c r="K14" s="1">
        <v>26.548860000000001</v>
      </c>
      <c r="L14" s="1">
        <v>27.577670000000001</v>
      </c>
      <c r="M14" s="1">
        <v>28.562270000000002</v>
      </c>
      <c r="N14" s="1">
        <v>29.504490000000001</v>
      </c>
      <c r="O14" s="1">
        <v>30.405529999999999</v>
      </c>
      <c r="P14" s="1">
        <v>31.26783</v>
      </c>
      <c r="Q14" s="1">
        <v>32.095390000000002</v>
      </c>
      <c r="R14" s="1">
        <v>32.888109999999998</v>
      </c>
      <c r="S14" s="1">
        <v>34.381770000000003</v>
      </c>
      <c r="T14" s="1">
        <v>35.765540000000001</v>
      </c>
      <c r="U14" s="1">
        <v>37.05677</v>
      </c>
      <c r="V14" s="1">
        <v>38.268219999999999</v>
      </c>
      <c r="W14" s="1">
        <v>39.416119999999999</v>
      </c>
      <c r="X14" s="1">
        <v>40.522590000000001</v>
      </c>
      <c r="Y14" s="32">
        <v>41.557780000000001</v>
      </c>
      <c r="Z14" s="1">
        <v>42.792960000000001</v>
      </c>
      <c r="AA14" s="1">
        <v>44.537680000000002</v>
      </c>
      <c r="AB14" s="1">
        <v>50.559989999999999</v>
      </c>
    </row>
    <row r="15" spans="1:28" x14ac:dyDescent="0.3">
      <c r="A15" s="3" t="s">
        <v>30</v>
      </c>
      <c r="B15" s="2" t="s">
        <v>5</v>
      </c>
      <c r="C15" s="1">
        <v>1.8521180000000002E-2</v>
      </c>
      <c r="D15" s="1">
        <v>2.5508010000000001E-2</v>
      </c>
      <c r="E15" s="1">
        <v>3.3378520000000002E-2</v>
      </c>
      <c r="F15" s="1">
        <v>4.1992809999999998E-2</v>
      </c>
      <c r="G15" s="1">
        <v>5.1223379999999999E-2</v>
      </c>
      <c r="H15" s="1">
        <v>6.098899E-2</v>
      </c>
      <c r="I15" s="1">
        <v>7.1185419999999999E-2</v>
      </c>
      <c r="J15" s="1">
        <v>8.1762479999999998E-2</v>
      </c>
      <c r="K15" s="1">
        <v>9.2674720000000002E-2</v>
      </c>
      <c r="L15" s="1">
        <v>0.1038665</v>
      </c>
      <c r="M15" s="1">
        <v>0.1153198</v>
      </c>
      <c r="N15" s="1">
        <v>0.12701200000000001</v>
      </c>
      <c r="O15" s="1">
        <v>0.13894509999999999</v>
      </c>
      <c r="P15" s="1">
        <v>0.15110190000000001</v>
      </c>
      <c r="Q15" s="1">
        <v>0.16350010000000001</v>
      </c>
      <c r="R15" s="1">
        <v>0.1761646</v>
      </c>
      <c r="S15" s="1">
        <v>0.2023857</v>
      </c>
      <c r="T15" s="1">
        <v>0.23016210000000001</v>
      </c>
      <c r="U15" s="1">
        <v>0.2601656</v>
      </c>
      <c r="V15" s="1">
        <v>0.29345379999999999</v>
      </c>
      <c r="W15" s="1">
        <v>0.33198359999999999</v>
      </c>
      <c r="X15" s="1">
        <v>0.3793397</v>
      </c>
      <c r="Y15" s="32">
        <v>0.43932939999999998</v>
      </c>
      <c r="Z15" s="1">
        <v>0.54839970000000005</v>
      </c>
      <c r="AA15" s="1">
        <v>0.83138679999999998</v>
      </c>
      <c r="AB15" s="1">
        <v>0.82282449999999996</v>
      </c>
    </row>
    <row r="16" spans="1:28" ht="18" x14ac:dyDescent="0.4">
      <c r="A16" s="3" t="s">
        <v>22</v>
      </c>
      <c r="B16" s="2" t="s">
        <v>9</v>
      </c>
      <c r="C16" s="1">
        <f>2682.593/4133.65</f>
        <v>0.64896471641285547</v>
      </c>
      <c r="D16" s="1">
        <f>3209.793/4960.327</f>
        <v>0.6470930243106956</v>
      </c>
      <c r="E16" s="1">
        <f>3731.58/5786.988</f>
        <v>0.64482248796783403</v>
      </c>
      <c r="F16" s="1">
        <f>4248.04/6613.639</f>
        <v>0.64231507041736025</v>
      </c>
      <c r="G16" s="1">
        <f>4759.298/7440.278</f>
        <v>0.6396666898736848</v>
      </c>
      <c r="H16" s="1">
        <f>5265.709/8266.909</f>
        <v>0.63696225517905181</v>
      </c>
      <c r="I16" s="1">
        <f>5767.398/9093.533</f>
        <v>0.63423072198671304</v>
      </c>
      <c r="J16" s="1">
        <f>6264.985/9920.149</f>
        <v>0.63154142140405356</v>
      </c>
      <c r="K16" s="1">
        <f>6758.367/10746.76</f>
        <v>0.62887484227804469</v>
      </c>
      <c r="L16" s="1">
        <f>7247.851/11573.37</f>
        <v>0.62625242258737079</v>
      </c>
      <c r="M16" s="1">
        <f>7733.895/12399.97</f>
        <v>0.62370271863560967</v>
      </c>
      <c r="N16" s="1">
        <f>8216.61/13226.57</f>
        <v>0.6212200139567553</v>
      </c>
      <c r="O16" s="1">
        <f>8696.217/14053.17</f>
        <v>0.61880821195502511</v>
      </c>
      <c r="P16" s="1">
        <f>9172.439/14879.76</f>
        <v>0.61643729468754871</v>
      </c>
      <c r="Q16" s="1">
        <f>9646.158/15706.35</f>
        <v>0.6141565672482785</v>
      </c>
      <c r="R16" s="1">
        <f>10116.78/16532.93</f>
        <v>0.61191694394157603</v>
      </c>
      <c r="S16" s="1">
        <f>11050.47/18186.09</f>
        <v>0.60763308660630178</v>
      </c>
      <c r="T16" s="1">
        <f>11974.42/19839.21</f>
        <v>0.60357342857906138</v>
      </c>
      <c r="U16" s="1">
        <f>12890.07/21492.31</f>
        <v>0.59975265571732395</v>
      </c>
      <c r="V16" s="1">
        <f>13795.8/23145.34</f>
        <v>0.59605086812291375</v>
      </c>
      <c r="W16" s="1">
        <f>14692.25/24798.28</f>
        <v>0.59247052618165452</v>
      </c>
      <c r="X16" s="1">
        <f>15578.36/26451.09</f>
        <v>0.58894964252890902</v>
      </c>
      <c r="Y16" s="32">
        <f>16403.27/28012.02</f>
        <v>0.58557969043289271</v>
      </c>
      <c r="Z16" s="1">
        <f>17302.87/29755.49</f>
        <v>0.58150176656475827</v>
      </c>
      <c r="AA16" s="1">
        <f>18074.48/31404.43</f>
        <v>0.57553918348462296</v>
      </c>
      <c r="AB16" s="1">
        <f>18225.26/33058.16</f>
        <v>0.55130896577425959</v>
      </c>
    </row>
    <row r="17" spans="1:28" ht="18" x14ac:dyDescent="0.4">
      <c r="A17" s="3" t="s">
        <v>23</v>
      </c>
      <c r="B17" s="2" t="s">
        <v>1</v>
      </c>
      <c r="C17" s="1">
        <v>65</v>
      </c>
      <c r="D17" s="1">
        <v>65</v>
      </c>
      <c r="E17" s="1">
        <v>65</v>
      </c>
      <c r="F17" s="1">
        <v>65</v>
      </c>
      <c r="G17" s="1">
        <v>65</v>
      </c>
      <c r="H17" s="1">
        <v>65</v>
      </c>
      <c r="I17" s="1">
        <v>65</v>
      </c>
      <c r="J17" s="1">
        <v>65</v>
      </c>
      <c r="K17" s="1">
        <v>65</v>
      </c>
      <c r="L17" s="1">
        <v>65</v>
      </c>
      <c r="M17" s="1">
        <v>65</v>
      </c>
      <c r="N17" s="1">
        <v>65</v>
      </c>
      <c r="O17" s="1">
        <v>65</v>
      </c>
      <c r="P17" s="1">
        <v>65</v>
      </c>
      <c r="Q17" s="1">
        <v>65</v>
      </c>
      <c r="R17" s="1">
        <v>65</v>
      </c>
      <c r="S17" s="1">
        <v>65</v>
      </c>
      <c r="T17" s="1">
        <v>65</v>
      </c>
      <c r="U17" s="1">
        <v>65</v>
      </c>
      <c r="V17" s="1">
        <v>65</v>
      </c>
      <c r="W17" s="1">
        <v>65</v>
      </c>
      <c r="X17" s="1">
        <v>65</v>
      </c>
      <c r="Y17" s="32">
        <v>65</v>
      </c>
      <c r="Z17" s="1">
        <v>65</v>
      </c>
      <c r="AA17" s="1">
        <v>65</v>
      </c>
      <c r="AB17" s="1">
        <v>65</v>
      </c>
    </row>
    <row r="18" spans="1:28" ht="18" x14ac:dyDescent="0.4">
      <c r="A18" s="3" t="s">
        <v>24</v>
      </c>
      <c r="B18" s="2" t="s">
        <v>9</v>
      </c>
      <c r="C18" s="1">
        <f>868.0581/4133.61</f>
        <v>0.21000000000000002</v>
      </c>
      <c r="D18" s="1">
        <f>1041.658/4960.278</f>
        <v>0.20999992339139054</v>
      </c>
      <c r="E18" s="1">
        <f>1215.256/5786.933</f>
        <v>0.21000001209621746</v>
      </c>
      <c r="F18" s="1">
        <f>1388.851/6613.575</f>
        <v>0.21000003780103804</v>
      </c>
      <c r="G18" s="1">
        <f>1562.444/7440.207</f>
        <v>0.2100000712345772</v>
      </c>
      <c r="H18" s="1">
        <f>1736.034/8266.831</f>
        <v>0.20999993830767802</v>
      </c>
      <c r="I18" s="1">
        <f>1909.624/9093.446</f>
        <v>0.21000003738956607</v>
      </c>
      <c r="J18" s="1">
        <f>2083.212/9920.056</f>
        <v>0.21000002419341179</v>
      </c>
      <c r="K18" s="1">
        <f>2256.799/10746.66</f>
        <v>0.21000003722086677</v>
      </c>
      <c r="L18" s="1">
        <f>2430.385/11573.26</f>
        <v>0.21000003456243099</v>
      </c>
      <c r="M18" s="1">
        <f>2603.969/12399.85</f>
        <v>0.21000004032306843</v>
      </c>
      <c r="N18" s="1">
        <f>2777.554/13226.45</f>
        <v>0.20999996219696138</v>
      </c>
      <c r="O18" s="1">
        <f>2951.137/14053.03</f>
        <v>0.21000004981132184</v>
      </c>
      <c r="P18" s="1">
        <f>3124.719/14879.62</f>
        <v>0.20999991935277917</v>
      </c>
      <c r="Q18" s="1">
        <f>3298.301/15706.19</f>
        <v>0.21000007003608132</v>
      </c>
      <c r="R18" s="1">
        <f>3471.882/16532.77</f>
        <v>0.21000001814577957</v>
      </c>
      <c r="S18" s="1">
        <f>3819.04/18185.9</f>
        <v>0.21000005498765525</v>
      </c>
      <c r="T18" s="1">
        <f>4166.191/19839.01</f>
        <v>0.2099999445536849</v>
      </c>
      <c r="U18" s="1">
        <f>4513.338/21492.09</f>
        <v>0.20999995812412844</v>
      </c>
      <c r="V18" s="1">
        <f>4860.473/23145.11</f>
        <v>0.20999999567943292</v>
      </c>
      <c r="W18" s="1">
        <f>5207.589/24798.04</f>
        <v>0.2100000241954606</v>
      </c>
      <c r="X18" s="1">
        <f>5554.674/26450.83</f>
        <v>0.20999998865820088</v>
      </c>
      <c r="Y18" s="32">
        <f>5880.746/28003.55</f>
        <v>0.21000001785487912</v>
      </c>
      <c r="Z18" s="1">
        <f>6248.59/29755.19</f>
        <v>0.21000000336075825</v>
      </c>
      <c r="AA18" s="1">
        <f>6594.865/31404.12</f>
        <v>0.20999999363140887</v>
      </c>
      <c r="AB18" s="1">
        <f>6942.143/33057.82</f>
        <v>0.21000002420002287</v>
      </c>
    </row>
    <row r="19" spans="1:28" x14ac:dyDescent="0.3">
      <c r="A19" s="3" t="s">
        <v>25</v>
      </c>
      <c r="B19" s="2" t="s">
        <v>10</v>
      </c>
      <c r="C19" s="1">
        <v>690.82799999999997</v>
      </c>
      <c r="D19" s="1">
        <v>831.70399999999995</v>
      </c>
      <c r="E19" s="1">
        <v>972.9</v>
      </c>
      <c r="F19" s="1">
        <v>1114.3399999999999</v>
      </c>
      <c r="G19" s="1">
        <v>1255.9100000000001</v>
      </c>
      <c r="H19" s="1">
        <v>1397.46</v>
      </c>
      <c r="I19" s="1">
        <v>1538.84</v>
      </c>
      <c r="J19" s="1">
        <v>1680.01</v>
      </c>
      <c r="K19" s="1">
        <v>1820.99</v>
      </c>
      <c r="L19" s="1">
        <v>1961.82</v>
      </c>
      <c r="M19" s="1">
        <v>2102.6</v>
      </c>
      <c r="N19" s="1">
        <v>2243.19</v>
      </c>
      <c r="O19" s="1">
        <v>2383.7600000000002</v>
      </c>
      <c r="P19" s="1">
        <v>2524.2199999999998</v>
      </c>
      <c r="Q19" s="1">
        <v>2664.69</v>
      </c>
      <c r="R19" s="1">
        <v>2805.01</v>
      </c>
      <c r="S19" s="1">
        <v>3085.54</v>
      </c>
      <c r="T19" s="1">
        <v>3365.93</v>
      </c>
      <c r="U19" s="1">
        <v>3646.03</v>
      </c>
      <c r="V19" s="1">
        <v>3926.04</v>
      </c>
      <c r="W19" s="1">
        <v>4205.6899999999996</v>
      </c>
      <c r="X19" s="1">
        <v>4485.12</v>
      </c>
      <c r="Y19" s="32">
        <v>4748.8</v>
      </c>
      <c r="Z19" s="1">
        <v>5042.9799999999996</v>
      </c>
      <c r="AA19" s="1">
        <v>5320.03</v>
      </c>
      <c r="AB19" s="1">
        <v>5578.65</v>
      </c>
    </row>
    <row r="20" spans="1:28" ht="18" x14ac:dyDescent="0.4">
      <c r="A20" s="3" t="s">
        <v>26</v>
      </c>
      <c r="B20" s="2" t="s">
        <v>1</v>
      </c>
      <c r="C20" s="1">
        <v>119.4645</v>
      </c>
      <c r="D20" s="1">
        <v>119.4615</v>
      </c>
      <c r="E20" s="1">
        <v>119.4586</v>
      </c>
      <c r="F20" s="1">
        <v>119.45569999999999</v>
      </c>
      <c r="G20" s="1">
        <v>119.45359999999999</v>
      </c>
      <c r="H20" s="1">
        <v>119.4516</v>
      </c>
      <c r="I20" s="1">
        <v>119.4499</v>
      </c>
      <c r="J20" s="1">
        <v>119.4478</v>
      </c>
      <c r="K20" s="1">
        <v>119.44629999999999</v>
      </c>
      <c r="L20" s="1">
        <v>119.44450000000001</v>
      </c>
      <c r="M20" s="1">
        <v>119.4435</v>
      </c>
      <c r="N20" s="1">
        <v>119.4417</v>
      </c>
      <c r="O20" s="1">
        <v>119.4406</v>
      </c>
      <c r="P20" s="1">
        <v>119.4392</v>
      </c>
      <c r="Q20" s="1">
        <v>119.4384</v>
      </c>
      <c r="R20" s="1">
        <v>119.437</v>
      </c>
      <c r="S20" s="1">
        <v>119.4349</v>
      </c>
      <c r="T20" s="1">
        <v>119.43300000000001</v>
      </c>
      <c r="U20" s="1">
        <v>119.4311</v>
      </c>
      <c r="V20" s="1">
        <v>119.4298</v>
      </c>
      <c r="W20" s="1">
        <v>119.4282</v>
      </c>
      <c r="X20" s="1">
        <v>119.4264</v>
      </c>
      <c r="Y20" s="32">
        <v>119.4251</v>
      </c>
      <c r="Z20" s="1">
        <v>119.42310000000001</v>
      </c>
      <c r="AA20" s="1">
        <v>119.4207</v>
      </c>
      <c r="AB20" s="1">
        <v>119.41249999999999</v>
      </c>
    </row>
    <row r="21" spans="1:28" x14ac:dyDescent="0.3">
      <c r="A21" s="3" t="s">
        <v>31</v>
      </c>
      <c r="B21" s="2" t="s">
        <v>5</v>
      </c>
      <c r="C21" s="1">
        <v>2.464759E-3</v>
      </c>
      <c r="D21" s="1">
        <v>2.933101E-3</v>
      </c>
      <c r="E21" s="1">
        <v>3.3945949999999998E-3</v>
      </c>
      <c r="F21" s="1">
        <v>3.851873E-3</v>
      </c>
      <c r="G21" s="1">
        <v>4.3084919999999997E-3</v>
      </c>
      <c r="H21" s="1">
        <v>4.7701940000000002E-3</v>
      </c>
      <c r="I21" s="1">
        <v>5.2381800000000003E-3</v>
      </c>
      <c r="J21" s="1">
        <v>5.7150200000000003E-3</v>
      </c>
      <c r="K21" s="1">
        <v>6.1989879999999999E-3</v>
      </c>
      <c r="L21" s="1">
        <v>6.689609E-3</v>
      </c>
      <c r="M21" s="1">
        <v>7.1868540000000003E-3</v>
      </c>
      <c r="N21" s="1">
        <v>7.6839489999999998E-3</v>
      </c>
      <c r="O21" s="1">
        <v>8.1866760000000004E-3</v>
      </c>
      <c r="P21" s="1">
        <v>8.6932969999999991E-3</v>
      </c>
      <c r="Q21" s="1">
        <v>9.2043030000000005E-3</v>
      </c>
      <c r="R21" s="1">
        <v>9.7145500000000006E-3</v>
      </c>
      <c r="S21" s="1">
        <v>1.074569E-2</v>
      </c>
      <c r="T21" s="1">
        <v>1.1788979999999999E-2</v>
      </c>
      <c r="U21" s="1">
        <v>1.282849E-2</v>
      </c>
      <c r="V21" s="1">
        <v>1.3887760000000001E-2</v>
      </c>
      <c r="W21" s="1">
        <v>1.4943680000000001E-2</v>
      </c>
      <c r="X21" s="1">
        <v>1.6015069999999999E-2</v>
      </c>
      <c r="Y21" s="32">
        <v>1.703315E-2</v>
      </c>
      <c r="Z21" s="1">
        <v>1.8186859999999999E-2</v>
      </c>
      <c r="AA21" s="1">
        <v>1.934104E-2</v>
      </c>
      <c r="AB21" s="1">
        <v>2.099322E-2</v>
      </c>
    </row>
    <row r="22" spans="1:28" x14ac:dyDescent="0.3">
      <c r="A22" s="3" t="s">
        <v>50</v>
      </c>
      <c r="B22" s="2" t="s">
        <v>5</v>
      </c>
      <c r="C22" s="1">
        <f>C21+C15</f>
        <v>2.0985939000000002E-2</v>
      </c>
      <c r="D22" s="1">
        <f t="shared" ref="D22:AB22" si="2">D21+D15</f>
        <v>2.8441111000000002E-2</v>
      </c>
      <c r="E22" s="1">
        <f t="shared" si="2"/>
        <v>3.6773115000000002E-2</v>
      </c>
      <c r="F22" s="1">
        <f t="shared" si="2"/>
        <v>4.5844682999999997E-2</v>
      </c>
      <c r="G22" s="1">
        <f t="shared" si="2"/>
        <v>5.5531871999999996E-2</v>
      </c>
      <c r="H22" s="1">
        <f t="shared" si="2"/>
        <v>6.5759183999999998E-2</v>
      </c>
      <c r="I22" s="1">
        <f t="shared" si="2"/>
        <v>7.6423599999999994E-2</v>
      </c>
      <c r="J22" s="1">
        <f t="shared" si="2"/>
        <v>8.74775E-2</v>
      </c>
      <c r="K22" s="1">
        <f t="shared" si="2"/>
        <v>9.8873708000000005E-2</v>
      </c>
      <c r="L22" s="1">
        <f t="shared" si="2"/>
        <v>0.110556109</v>
      </c>
      <c r="M22" s="1">
        <f t="shared" si="2"/>
        <v>0.12250665400000001</v>
      </c>
      <c r="N22" s="1">
        <f t="shared" si="2"/>
        <v>0.13469594900000001</v>
      </c>
      <c r="O22" s="1">
        <f t="shared" si="2"/>
        <v>0.14713177599999999</v>
      </c>
      <c r="P22" s="1">
        <f t="shared" si="2"/>
        <v>0.159795197</v>
      </c>
      <c r="Q22" s="1">
        <f t="shared" si="2"/>
        <v>0.17270440300000001</v>
      </c>
      <c r="R22" s="1">
        <f t="shared" si="2"/>
        <v>0.18587914999999999</v>
      </c>
      <c r="S22" s="1">
        <f t="shared" si="2"/>
        <v>0.21313139</v>
      </c>
      <c r="T22" s="1">
        <f t="shared" si="2"/>
        <v>0.24195108000000001</v>
      </c>
      <c r="U22" s="1">
        <f t="shared" si="2"/>
        <v>0.27299409000000002</v>
      </c>
      <c r="V22" s="1">
        <f t="shared" si="2"/>
        <v>0.30734156000000001</v>
      </c>
      <c r="W22" s="1">
        <f t="shared" si="2"/>
        <v>0.34692728</v>
      </c>
      <c r="X22" s="1">
        <f t="shared" si="2"/>
        <v>0.39535477000000002</v>
      </c>
      <c r="Y22" s="32">
        <f t="shared" si="2"/>
        <v>0.45636254999999998</v>
      </c>
      <c r="Z22" s="1">
        <f t="shared" si="2"/>
        <v>0.56658656000000007</v>
      </c>
      <c r="AA22" s="1">
        <f t="shared" si="2"/>
        <v>0.85072784000000001</v>
      </c>
      <c r="AB22" s="1">
        <f t="shared" si="2"/>
        <v>0.84381771999999999</v>
      </c>
    </row>
    <row r="23" spans="1:28" x14ac:dyDescent="0.3">
      <c r="A23" s="3" t="s">
        <v>51</v>
      </c>
      <c r="B23" s="2" t="s">
        <v>52</v>
      </c>
      <c r="C23" s="1">
        <f>C22/C11*1000</f>
        <v>0.17775520091749258</v>
      </c>
      <c r="D23" s="1">
        <f t="shared" ref="D23:AB23" si="3">D22/D11*1000</f>
        <v>0.2013344683321181</v>
      </c>
      <c r="E23" s="1">
        <f t="shared" si="3"/>
        <v>0.22391665063193097</v>
      </c>
      <c r="F23" s="1">
        <f t="shared" si="3"/>
        <v>0.24521616827898723</v>
      </c>
      <c r="G23" s="1">
        <f t="shared" si="3"/>
        <v>0.26512339781921512</v>
      </c>
      <c r="H23" s="1">
        <f t="shared" si="3"/>
        <v>0.28375799319852646</v>
      </c>
      <c r="I23" s="1">
        <f t="shared" si="3"/>
        <v>0.30108989249209683</v>
      </c>
      <c r="J23" s="1">
        <f t="shared" si="3"/>
        <v>0.31726702983439842</v>
      </c>
      <c r="K23" s="1">
        <f t="shared" si="3"/>
        <v>0.3324204458308132</v>
      </c>
      <c r="L23" s="1">
        <f t="shared" si="3"/>
        <v>0.34659488635419572</v>
      </c>
      <c r="M23" s="1">
        <f t="shared" si="3"/>
        <v>0.35992338308428479</v>
      </c>
      <c r="N23" s="1">
        <f t="shared" si="3"/>
        <v>0.37248646757721654</v>
      </c>
      <c r="O23" s="1">
        <f t="shared" si="3"/>
        <v>0.3844366215031596</v>
      </c>
      <c r="P23" s="1">
        <f t="shared" si="3"/>
        <v>0.39584718798847601</v>
      </c>
      <c r="Q23" s="1">
        <f t="shared" si="3"/>
        <v>0.40681568021286729</v>
      </c>
      <c r="R23" s="1">
        <f t="shared" si="3"/>
        <v>0.41748126570081939</v>
      </c>
      <c r="S23" s="1">
        <f t="shared" si="3"/>
        <v>0.43824330003915024</v>
      </c>
      <c r="T23" s="1">
        <f t="shared" si="3"/>
        <v>0.45911526161008986</v>
      </c>
      <c r="U23" s="1">
        <f t="shared" si="3"/>
        <v>0.48122331730807366</v>
      </c>
      <c r="V23" s="1">
        <f t="shared" si="3"/>
        <v>0.50620108832516875</v>
      </c>
      <c r="W23" s="1">
        <f t="shared" si="3"/>
        <v>0.53653573636252427</v>
      </c>
      <c r="X23" s="1">
        <f t="shared" si="3"/>
        <v>0.57665212084650663</v>
      </c>
      <c r="Y23" s="32">
        <f t="shared" si="3"/>
        <v>0.63216155906825255</v>
      </c>
      <c r="Z23" s="1">
        <f t="shared" si="3"/>
        <v>0.74404081527061172</v>
      </c>
      <c r="AA23" s="1">
        <f t="shared" si="3"/>
        <v>1.0694819172705432</v>
      </c>
      <c r="AB23" s="1">
        <f t="shared" si="3"/>
        <v>1.0520188850753969</v>
      </c>
    </row>
    <row r="24" spans="1:28" x14ac:dyDescent="0.3">
      <c r="A24" s="3" t="s">
        <v>34</v>
      </c>
      <c r="B24" s="2" t="s">
        <v>28</v>
      </c>
      <c r="C24" s="1">
        <f>C19/C11</f>
        <v>5.8514546306186039</v>
      </c>
      <c r="D24" s="1">
        <f t="shared" ref="D24:AB24" si="4">D19/D11</f>
        <v>5.8876280413130111</v>
      </c>
      <c r="E24" s="1">
        <f t="shared" si="4"/>
        <v>5.9241244425392203</v>
      </c>
      <c r="F24" s="1">
        <f t="shared" si="4"/>
        <v>5.960433513304185</v>
      </c>
      <c r="G24" s="1">
        <f t="shared" si="4"/>
        <v>5.9960364122990573</v>
      </c>
      <c r="H24" s="1">
        <f t="shared" si="4"/>
        <v>6.0301910859358117</v>
      </c>
      <c r="I24" s="1">
        <f t="shared" si="4"/>
        <v>6.0626451797944387</v>
      </c>
      <c r="J24" s="1">
        <f t="shared" si="4"/>
        <v>6.0931300367761736</v>
      </c>
      <c r="K24" s="1">
        <f t="shared" si="4"/>
        <v>6.1222980294564504</v>
      </c>
      <c r="L24" s="1">
        <f t="shared" si="4"/>
        <v>6.1503320449473149</v>
      </c>
      <c r="M24" s="1">
        <f t="shared" si="4"/>
        <v>6.177418781456697</v>
      </c>
      <c r="N24" s="1">
        <f t="shared" si="4"/>
        <v>6.203289151662136</v>
      </c>
      <c r="O24" s="1">
        <f t="shared" si="4"/>
        <v>6.2284617625656322</v>
      </c>
      <c r="P24" s="1">
        <f t="shared" si="4"/>
        <v>6.253037685884081</v>
      </c>
      <c r="Q24" s="1">
        <f t="shared" si="4"/>
        <v>6.276838668128371</v>
      </c>
      <c r="R24" s="1">
        <f t="shared" si="4"/>
        <v>6.3000025828795518</v>
      </c>
      <c r="S24" s="1">
        <f t="shared" si="4"/>
        <v>6.3445240609691496</v>
      </c>
      <c r="T24" s="1">
        <f t="shared" si="4"/>
        <v>6.3870342406045459</v>
      </c>
      <c r="U24" s="1">
        <f t="shared" si="4"/>
        <v>6.427079251440043</v>
      </c>
      <c r="V24" s="1">
        <f t="shared" si="4"/>
        <v>6.4663097330805028</v>
      </c>
      <c r="W24" s="1">
        <f t="shared" si="4"/>
        <v>6.5042535169402207</v>
      </c>
      <c r="X24" s="1">
        <f t="shared" si="4"/>
        <v>6.5418559645836165</v>
      </c>
      <c r="Y24" s="32">
        <f t="shared" si="4"/>
        <v>6.5781226169923848</v>
      </c>
      <c r="Z24" s="1">
        <f t="shared" si="4"/>
        <v>6.6224355032237057</v>
      </c>
      <c r="AA24" s="1">
        <f t="shared" si="4"/>
        <v>6.6880095099941803</v>
      </c>
      <c r="AB24" s="1">
        <f t="shared" si="4"/>
        <v>6.9551101074600128</v>
      </c>
    </row>
    <row r="25" spans="1:28" x14ac:dyDescent="0.3">
      <c r="A25" s="150" t="s">
        <v>27</v>
      </c>
      <c r="B25" s="12" t="s">
        <v>36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32"/>
      <c r="Z25" s="1"/>
      <c r="AA25" s="1"/>
      <c r="AB25" s="1"/>
    </row>
    <row r="26" spans="1:28" x14ac:dyDescent="0.3">
      <c r="A26" s="150"/>
      <c r="B26" s="2" t="s">
        <v>11</v>
      </c>
      <c r="C26" s="1">
        <v>0.87521850000000001</v>
      </c>
      <c r="D26" s="1">
        <v>0.87547470000000005</v>
      </c>
      <c r="E26" s="1">
        <v>0.87572099999999997</v>
      </c>
      <c r="F26" s="1">
        <v>0.87591370000000002</v>
      </c>
      <c r="G26" s="1">
        <v>0.87602080000000004</v>
      </c>
      <c r="H26" s="1">
        <v>0.87600860000000003</v>
      </c>
      <c r="I26" s="1">
        <v>0.87588670000000002</v>
      </c>
      <c r="J26" s="1">
        <v>0.74842229999999998</v>
      </c>
      <c r="K26" s="1">
        <v>0.87538369999999999</v>
      </c>
      <c r="L26" s="1">
        <v>0.87504939999999998</v>
      </c>
      <c r="M26" s="1">
        <v>0.87468170000000001</v>
      </c>
      <c r="N26" s="1">
        <v>0.87431930000000002</v>
      </c>
      <c r="O26" s="1">
        <v>0.87393730000000003</v>
      </c>
      <c r="P26" s="1">
        <v>0.87354330000000002</v>
      </c>
      <c r="Q26" s="1">
        <v>0.87314610000000004</v>
      </c>
      <c r="R26" s="1">
        <v>0.87275740000000002</v>
      </c>
      <c r="S26" s="1">
        <v>0.87197599999999997</v>
      </c>
      <c r="T26" s="1">
        <v>0.87119670000000005</v>
      </c>
      <c r="U26" s="1">
        <v>0.87047660000000004</v>
      </c>
      <c r="V26" s="1">
        <v>0.86972450000000001</v>
      </c>
      <c r="W26" s="1">
        <v>0.86900940000000004</v>
      </c>
      <c r="X26" s="1">
        <v>0.86827209999999999</v>
      </c>
      <c r="Y26" s="32">
        <v>0.86756180000000005</v>
      </c>
      <c r="Z26" s="1">
        <v>0.86668659999999997</v>
      </c>
      <c r="AA26" s="1">
        <v>0.86536740000000001</v>
      </c>
      <c r="AB26" s="1">
        <v>0.85967800000000005</v>
      </c>
    </row>
    <row r="27" spans="1:28" x14ac:dyDescent="0.3">
      <c r="A27" s="150"/>
      <c r="B27" s="2" t="s">
        <v>12</v>
      </c>
      <c r="C27" s="1">
        <v>7.2246400000000001E-3</v>
      </c>
      <c r="D27" s="1">
        <v>6.8900380000000002E-3</v>
      </c>
      <c r="E27" s="1">
        <v>6.5442410000000001E-3</v>
      </c>
      <c r="F27" s="1">
        <v>6.2097419999999999E-3</v>
      </c>
      <c r="G27" s="1">
        <v>5.8970389999999998E-3</v>
      </c>
      <c r="H27" s="1">
        <v>5.6093799999999997E-3</v>
      </c>
      <c r="I27" s="1">
        <v>5.3473469999999997E-3</v>
      </c>
      <c r="J27" s="1">
        <v>2.9996990000000002E-3</v>
      </c>
      <c r="K27" s="1">
        <v>4.8930299999999996E-3</v>
      </c>
      <c r="L27" s="1">
        <v>4.6969120000000001E-3</v>
      </c>
      <c r="M27" s="1">
        <v>4.5183469999999998E-3</v>
      </c>
      <c r="N27" s="1">
        <v>4.3555399999999998E-3</v>
      </c>
      <c r="O27" s="1">
        <v>4.2066689999999997E-3</v>
      </c>
      <c r="P27" s="1">
        <v>4.0704599999999997E-3</v>
      </c>
      <c r="Q27" s="1">
        <v>3.9447370000000002E-3</v>
      </c>
      <c r="R27" s="1">
        <v>3.8291760000000001E-3</v>
      </c>
      <c r="S27" s="1">
        <v>3.622756E-3</v>
      </c>
      <c r="T27" s="1">
        <v>3.44401E-3</v>
      </c>
      <c r="U27" s="1">
        <v>3.2870680000000002E-3</v>
      </c>
      <c r="V27" s="1">
        <v>3.1482469999999999E-3</v>
      </c>
      <c r="W27" s="1">
        <v>3.0237250000000001E-3</v>
      </c>
      <c r="X27" s="1">
        <v>2.9096679999999998E-3</v>
      </c>
      <c r="Y27" s="32">
        <v>2.8081320000000001E-3</v>
      </c>
      <c r="Z27" s="1">
        <v>2.6929660000000002E-3</v>
      </c>
      <c r="AA27" s="1">
        <v>2.541574E-3</v>
      </c>
      <c r="AB27" s="1">
        <v>2.1242090000000002E-3</v>
      </c>
    </row>
    <row r="28" spans="1:28" x14ac:dyDescent="0.3">
      <c r="A28" s="150"/>
      <c r="B28" s="2" t="s">
        <v>13</v>
      </c>
      <c r="C28" s="1">
        <v>3.9044969999999998E-4</v>
      </c>
      <c r="D28" s="1">
        <v>3.8383969999999999E-4</v>
      </c>
      <c r="E28" s="1">
        <v>3.7672340000000001E-4</v>
      </c>
      <c r="F28" s="1">
        <v>3.6964110000000001E-4</v>
      </c>
      <c r="G28" s="1">
        <v>3.628778E-4</v>
      </c>
      <c r="H28" s="1">
        <v>3.5652919999999997E-4</v>
      </c>
      <c r="I28" s="1">
        <v>3.5065440000000002E-4</v>
      </c>
      <c r="J28" s="1">
        <v>4.6352859999999999E-4</v>
      </c>
      <c r="K28" s="1">
        <v>3.402341E-4</v>
      </c>
      <c r="L28" s="1">
        <v>3.356635E-4</v>
      </c>
      <c r="M28" s="1">
        <v>3.3145689999999997E-4</v>
      </c>
      <c r="N28" s="1">
        <v>3.275946E-4</v>
      </c>
      <c r="O28" s="1">
        <v>3.2403560000000001E-4</v>
      </c>
      <c r="P28" s="1">
        <v>3.2077389999999998E-4</v>
      </c>
      <c r="Q28" s="1">
        <v>3.1773339999999998E-4</v>
      </c>
      <c r="R28" s="1">
        <v>3.14944E-4</v>
      </c>
      <c r="S28" s="1">
        <v>3.0992759999999998E-4</v>
      </c>
      <c r="T28" s="1">
        <v>3.0556319999999997E-4</v>
      </c>
      <c r="U28" s="1">
        <v>3.017068E-4</v>
      </c>
      <c r="V28" s="1">
        <v>2.9830770000000001E-4</v>
      </c>
      <c r="W28" s="1">
        <v>2.952726E-4</v>
      </c>
      <c r="X28" s="1">
        <v>2.9250009999999999E-4</v>
      </c>
      <c r="Y28" s="32">
        <v>2.9005460000000003E-4</v>
      </c>
      <c r="Z28" s="1">
        <v>2.8729180000000001E-4</v>
      </c>
      <c r="AA28" s="1">
        <v>2.8374070000000001E-4</v>
      </c>
      <c r="AB28" s="1">
        <v>2.7631530000000001E-4</v>
      </c>
    </row>
    <row r="29" spans="1:28" x14ac:dyDescent="0.3">
      <c r="A29" s="150"/>
      <c r="B29" s="2" t="s">
        <v>14</v>
      </c>
      <c r="C29" s="35">
        <v>6.8262879999999999E-5</v>
      </c>
      <c r="D29" s="35">
        <v>6.7114789999999996E-5</v>
      </c>
      <c r="E29" s="35">
        <v>6.5870119999999999E-5</v>
      </c>
      <c r="F29" s="35">
        <v>6.4622229999999995E-5</v>
      </c>
      <c r="G29" s="35">
        <v>6.3421289999999995E-5</v>
      </c>
      <c r="H29" s="35">
        <v>6.2285479999999997E-5</v>
      </c>
      <c r="I29" s="35">
        <v>6.1226379999999999E-5</v>
      </c>
      <c r="J29" s="35">
        <v>7.0810910000000004E-5</v>
      </c>
      <c r="K29" s="35">
        <v>5.932715E-5</v>
      </c>
      <c r="L29" s="35">
        <v>5.8484640000000002E-5</v>
      </c>
      <c r="M29" s="35">
        <v>5.7703610000000002E-5</v>
      </c>
      <c r="N29" s="35">
        <v>5.6981380000000002E-5</v>
      </c>
      <c r="O29" s="35">
        <v>5.631115E-5</v>
      </c>
      <c r="P29" s="35">
        <v>5.5692300000000002E-5</v>
      </c>
      <c r="Q29" s="35">
        <v>5.5111770000000001E-5</v>
      </c>
      <c r="R29" s="35">
        <v>5.4575050000000002E-5</v>
      </c>
      <c r="S29" s="35">
        <v>5.360036E-5</v>
      </c>
      <c r="T29" s="35">
        <v>5.2740829999999997E-5</v>
      </c>
      <c r="U29" s="35">
        <v>5.1971770000000001E-5</v>
      </c>
      <c r="V29" s="35">
        <v>5.1284330000000002E-5</v>
      </c>
      <c r="W29" s="35">
        <v>5.0661829999999999E-5</v>
      </c>
      <c r="X29" s="35">
        <v>5.008531E-5</v>
      </c>
      <c r="Y29" s="36">
        <v>4.9569079999999998E-5</v>
      </c>
      <c r="Z29" s="35">
        <v>4.8976739999999998E-5</v>
      </c>
      <c r="AA29" s="35">
        <v>4.8194990000000001E-5</v>
      </c>
      <c r="AB29" s="35">
        <v>4.626832E-5</v>
      </c>
    </row>
    <row r="30" spans="1:28" x14ac:dyDescent="0.3">
      <c r="A30" s="150"/>
      <c r="B30" s="2" t="s">
        <v>15</v>
      </c>
      <c r="C30" s="1">
        <v>0.1170712</v>
      </c>
      <c r="D30" s="1">
        <v>0.11715739999999999</v>
      </c>
      <c r="E30" s="1">
        <v>0.1172653</v>
      </c>
      <c r="F30" s="1">
        <v>0.11741550000000001</v>
      </c>
      <c r="G30" s="1">
        <v>0.1176291</v>
      </c>
      <c r="H30" s="1">
        <v>0.11793629999999999</v>
      </c>
      <c r="I30" s="1">
        <v>0.1183271</v>
      </c>
      <c r="J30" s="1">
        <v>0.24802689999999999</v>
      </c>
      <c r="K30" s="1">
        <v>0.11929629999999999</v>
      </c>
      <c r="L30" s="1">
        <v>0.11983199999999999</v>
      </c>
      <c r="M30" s="1">
        <v>0.1203829</v>
      </c>
      <c r="N30" s="1">
        <v>0.12091250000000001</v>
      </c>
      <c r="O30" s="1">
        <v>0.1214474</v>
      </c>
      <c r="P30" s="1">
        <v>0.1219812</v>
      </c>
      <c r="Q30" s="1">
        <v>0.1225077</v>
      </c>
      <c r="R30" s="1">
        <v>0.1230149</v>
      </c>
      <c r="S30" s="1">
        <v>0.1240082</v>
      </c>
      <c r="T30" s="1">
        <v>0.124971</v>
      </c>
      <c r="U30" s="1">
        <v>0.1258524</v>
      </c>
      <c r="V30" s="1">
        <v>0.1267469</v>
      </c>
      <c r="W30" s="1">
        <v>0.1275898</v>
      </c>
      <c r="X30" s="1">
        <v>0.12844420000000001</v>
      </c>
      <c r="Y30" s="32">
        <v>0.1292584</v>
      </c>
      <c r="Z30" s="1">
        <v>0.1302516</v>
      </c>
      <c r="AA30" s="1">
        <v>0.13172600000000001</v>
      </c>
      <c r="AB30" s="1">
        <v>0.13783880000000001</v>
      </c>
    </row>
    <row r="31" spans="1:28" x14ac:dyDescent="0.3">
      <c r="A31" s="150"/>
      <c r="B31" s="2" t="s">
        <v>0</v>
      </c>
      <c r="C31" s="35">
        <v>2.701309E-5</v>
      </c>
      <c r="D31" s="35">
        <v>2.691119E-5</v>
      </c>
      <c r="E31" s="35">
        <v>2.6843300000000001E-5</v>
      </c>
      <c r="F31" s="35">
        <v>2.681263E-5</v>
      </c>
      <c r="G31" s="35">
        <v>2.682657E-5</v>
      </c>
      <c r="H31" s="35">
        <v>2.6900379999999999E-5</v>
      </c>
      <c r="I31" s="35">
        <v>2.702341E-5</v>
      </c>
      <c r="J31" s="35">
        <v>1.674466E-5</v>
      </c>
      <c r="K31" s="35">
        <v>2.7390759999999999E-5</v>
      </c>
      <c r="L31" s="35">
        <v>2.7609800000000001E-5</v>
      </c>
      <c r="M31" s="35">
        <v>2.784366E-5</v>
      </c>
      <c r="N31" s="35">
        <v>2.806593E-5</v>
      </c>
      <c r="O31" s="35">
        <v>2.8297010000000001E-5</v>
      </c>
      <c r="P31" s="35">
        <v>2.85316E-5</v>
      </c>
      <c r="Q31" s="35">
        <v>2.876732E-5</v>
      </c>
      <c r="R31" s="35">
        <v>2.8991880000000001E-5</v>
      </c>
      <c r="S31" s="35">
        <v>2.9441720000000001E-5</v>
      </c>
      <c r="T31" s="35">
        <v>2.9887450000000001E-5</v>
      </c>
      <c r="U31" s="35">
        <v>3.0290519999999999E-5</v>
      </c>
      <c r="V31" s="35">
        <v>3.0715110000000001E-5</v>
      </c>
      <c r="W31" s="35">
        <v>3.1110620000000001E-5</v>
      </c>
      <c r="X31" s="35">
        <v>3.1521440000000002E-5</v>
      </c>
      <c r="Y31" s="36">
        <v>3.1915000000000002E-5</v>
      </c>
      <c r="Z31" s="35">
        <v>3.239949E-5</v>
      </c>
      <c r="AA31" s="35">
        <v>3.31285E-5</v>
      </c>
      <c r="AB31" s="35">
        <v>3.6344119999999998E-5</v>
      </c>
    </row>
    <row r="32" spans="1:28" x14ac:dyDescent="0.3">
      <c r="A32" s="150" t="s">
        <v>27</v>
      </c>
      <c r="B32" s="12" t="s">
        <v>35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32"/>
      <c r="Z32" s="1"/>
      <c r="AA32" s="1"/>
      <c r="AB32" s="1"/>
    </row>
    <row r="33" spans="1:28" x14ac:dyDescent="0.3">
      <c r="A33" s="150"/>
      <c r="B33" s="2" t="s">
        <v>11</v>
      </c>
      <c r="C33" s="1">
        <v>0.75003140000000001</v>
      </c>
      <c r="D33" s="1">
        <v>0.75010639999999995</v>
      </c>
      <c r="E33" s="1">
        <v>0.75015069999999995</v>
      </c>
      <c r="F33" s="1">
        <v>0.75011220000000001</v>
      </c>
      <c r="G33" s="1">
        <v>0.7499458</v>
      </c>
      <c r="H33" s="1">
        <v>0.74959580000000003</v>
      </c>
      <c r="I33" s="1">
        <v>0.74907990000000002</v>
      </c>
      <c r="J33" s="1">
        <v>0.87566949999999999</v>
      </c>
      <c r="K33" s="1">
        <v>0.74766889999999997</v>
      </c>
      <c r="L33" s="1">
        <v>0.74685290000000004</v>
      </c>
      <c r="M33" s="1">
        <v>0.74599919999999997</v>
      </c>
      <c r="N33" s="1">
        <v>0.74517359999999999</v>
      </c>
      <c r="O33" s="1">
        <v>0.7443303</v>
      </c>
      <c r="P33" s="1">
        <v>0.74348150000000002</v>
      </c>
      <c r="Q33" s="1">
        <v>0.74263939999999995</v>
      </c>
      <c r="R33" s="1">
        <v>0.74182550000000003</v>
      </c>
      <c r="S33" s="1">
        <v>0.74022109999999997</v>
      </c>
      <c r="T33" s="1">
        <v>0.73865499999999995</v>
      </c>
      <c r="U33" s="1">
        <v>0.7372204</v>
      </c>
      <c r="V33" s="1">
        <v>0.73575360000000001</v>
      </c>
      <c r="W33" s="1">
        <v>0.73437010000000003</v>
      </c>
      <c r="X33" s="1">
        <v>0.73296240000000001</v>
      </c>
      <c r="Y33" s="32">
        <v>0.73161869999999996</v>
      </c>
      <c r="Z33" s="1">
        <v>0.72997749999999995</v>
      </c>
      <c r="AA33" s="1">
        <v>0.72753500000000004</v>
      </c>
      <c r="AB33" s="1">
        <v>0.71735700000000002</v>
      </c>
    </row>
    <row r="34" spans="1:28" x14ac:dyDescent="0.3">
      <c r="A34" s="150"/>
      <c r="B34" s="2" t="s">
        <v>12</v>
      </c>
      <c r="C34" s="1">
        <v>4.2531399999999999E-3</v>
      </c>
      <c r="D34" s="1">
        <v>4.0553780000000001E-3</v>
      </c>
      <c r="E34" s="1">
        <v>3.8509920000000001E-3</v>
      </c>
      <c r="F34" s="1">
        <v>3.6531620000000002E-3</v>
      </c>
      <c r="G34" s="1">
        <v>3.4680069999999999E-3</v>
      </c>
      <c r="H34" s="1">
        <v>3.2973429999999999E-3</v>
      </c>
      <c r="I34" s="1">
        <v>3.1415869999999999E-3</v>
      </c>
      <c r="J34" s="1">
        <v>5.1090559999999998E-3</v>
      </c>
      <c r="K34" s="1">
        <v>2.8709080000000001E-3</v>
      </c>
      <c r="L34" s="1">
        <v>2.7538829999999999E-3</v>
      </c>
      <c r="M34" s="1">
        <v>2.6472710000000001E-3</v>
      </c>
      <c r="N34" s="1">
        <v>2.5501159999999998E-3</v>
      </c>
      <c r="O34" s="1">
        <v>2.4612409999999999E-3</v>
      </c>
      <c r="P34" s="1">
        <v>2.3799049999999999E-3</v>
      </c>
      <c r="Q34" s="1">
        <v>2.304834E-3</v>
      </c>
      <c r="R34" s="1">
        <v>2.2358569999999999E-3</v>
      </c>
      <c r="S34" s="1">
        <v>2.1126449999999998E-3</v>
      </c>
      <c r="T34" s="1">
        <v>2.0059510000000002E-3</v>
      </c>
      <c r="U34" s="1">
        <v>1.912403E-3</v>
      </c>
      <c r="V34" s="1">
        <v>1.829574E-3</v>
      </c>
      <c r="W34" s="1">
        <v>1.7553480000000001E-3</v>
      </c>
      <c r="X34" s="1">
        <v>1.687329E-3</v>
      </c>
      <c r="Y34" s="32">
        <v>1.6267930000000001E-3</v>
      </c>
      <c r="Z34" s="1">
        <v>1.5581480000000001E-3</v>
      </c>
      <c r="AA34" s="1">
        <v>1.4678670000000001E-3</v>
      </c>
      <c r="AB34" s="1">
        <v>1.2176629999999999E-3</v>
      </c>
    </row>
    <row r="35" spans="1:28" x14ac:dyDescent="0.3">
      <c r="A35" s="150"/>
      <c r="B35" s="2" t="s">
        <v>13</v>
      </c>
      <c r="C35" s="35">
        <v>5.256592E-4</v>
      </c>
      <c r="D35" s="1">
        <v>5.1666069999999997E-4</v>
      </c>
      <c r="E35" s="1">
        <v>5.0696919999999998E-4</v>
      </c>
      <c r="F35" s="1">
        <v>4.9730330000000004E-4</v>
      </c>
      <c r="G35" s="1">
        <v>4.8803630000000001E-4</v>
      </c>
      <c r="H35" s="1">
        <v>4.7928089999999999E-4</v>
      </c>
      <c r="I35" s="1">
        <v>4.7112450000000002E-4</v>
      </c>
      <c r="J35" s="1">
        <v>3.4521829999999999E-4</v>
      </c>
      <c r="K35" s="1">
        <v>4.5652540000000003E-4</v>
      </c>
      <c r="L35" s="1">
        <v>4.5007290000000002E-4</v>
      </c>
      <c r="M35" s="1">
        <v>4.441111E-4</v>
      </c>
      <c r="N35" s="1">
        <v>4.3863209999999998E-4</v>
      </c>
      <c r="O35" s="1">
        <v>4.3356519999999997E-4</v>
      </c>
      <c r="P35" s="1">
        <v>4.2890479999999997E-4</v>
      </c>
      <c r="Q35" s="1">
        <v>4.245513E-4</v>
      </c>
      <c r="R35" s="1">
        <v>4.2055009999999998E-4</v>
      </c>
      <c r="S35" s="1">
        <v>4.1332659999999998E-4</v>
      </c>
      <c r="T35" s="1">
        <v>4.070077E-4</v>
      </c>
      <c r="U35" s="1">
        <v>4.0142239999999999E-4</v>
      </c>
      <c r="V35" s="1">
        <v>3.9645270000000001E-4</v>
      </c>
      <c r="W35" s="1">
        <v>3.9200349999999999E-4</v>
      </c>
      <c r="X35" s="1">
        <v>3.8790750000000001E-4</v>
      </c>
      <c r="Y35" s="32">
        <v>3.842734E-4</v>
      </c>
      <c r="Z35" s="1">
        <v>3.8014290000000002E-4</v>
      </c>
      <c r="AA35" s="1">
        <v>3.7475829999999999E-4</v>
      </c>
      <c r="AB35" s="1">
        <v>3.6222689999999998E-4</v>
      </c>
    </row>
    <row r="36" spans="1:28" x14ac:dyDescent="0.3">
      <c r="A36" s="150"/>
      <c r="B36" s="2" t="s">
        <v>14</v>
      </c>
      <c r="C36" s="35">
        <v>8.0456760000000002E-5</v>
      </c>
      <c r="D36" s="35">
        <v>7.9088339999999996E-5</v>
      </c>
      <c r="E36" s="35">
        <v>7.7604369999999996E-5</v>
      </c>
      <c r="F36" s="35">
        <v>7.6113510000000003E-5</v>
      </c>
      <c r="G36" s="35">
        <v>7.4673330000000004E-5</v>
      </c>
      <c r="H36" s="35">
        <v>7.3302789999999998E-5</v>
      </c>
      <c r="I36" s="35">
        <v>7.2016769999999996E-5</v>
      </c>
      <c r="J36" s="35">
        <v>6.0239129999999999E-5</v>
      </c>
      <c r="K36" s="35">
        <v>6.9691419999999996E-5</v>
      </c>
      <c r="L36" s="35">
        <v>6.8652960000000005E-5</v>
      </c>
      <c r="M36" s="35">
        <v>6.7687160000000002E-5</v>
      </c>
      <c r="N36" s="35">
        <v>6.6793660000000001E-5</v>
      </c>
      <c r="O36" s="35">
        <v>6.5962139999999999E-5</v>
      </c>
      <c r="P36" s="35">
        <v>6.5192189999999995E-5</v>
      </c>
      <c r="Q36" s="35">
        <v>6.4468920000000003E-5</v>
      </c>
      <c r="R36" s="35">
        <v>6.3799509999999999E-5</v>
      </c>
      <c r="S36" s="35">
        <v>6.258058E-5</v>
      </c>
      <c r="T36" s="35">
        <v>6.1501730000000003E-5</v>
      </c>
      <c r="U36" s="35">
        <v>6.0537249999999997E-5</v>
      </c>
      <c r="V36" s="35">
        <v>5.9669200000000001E-5</v>
      </c>
      <c r="W36" s="35">
        <v>5.8882509999999998E-5</v>
      </c>
      <c r="X36" s="35">
        <v>5.8150199999999998E-5</v>
      </c>
      <c r="Y36" s="36">
        <v>5.7492370000000003E-5</v>
      </c>
      <c r="Z36" s="35">
        <v>5.6735150000000002E-5</v>
      </c>
      <c r="AA36" s="35">
        <v>5.5727579999999997E-5</v>
      </c>
      <c r="AB36" s="35">
        <v>5.3100450000000001E-5</v>
      </c>
    </row>
    <row r="37" spans="1:28" x14ac:dyDescent="0.3">
      <c r="A37" s="150"/>
      <c r="B37" s="2" t="s">
        <v>15</v>
      </c>
      <c r="C37" s="35">
        <v>0.24509259999999999</v>
      </c>
      <c r="D37" s="1">
        <v>0.24522579999999999</v>
      </c>
      <c r="E37" s="1">
        <v>0.24539710000000001</v>
      </c>
      <c r="F37" s="1">
        <v>0.24564469999999999</v>
      </c>
      <c r="G37" s="1">
        <v>0.2460069</v>
      </c>
      <c r="H37" s="1">
        <v>0.2465377</v>
      </c>
      <c r="I37" s="1">
        <v>0.24721879999999999</v>
      </c>
      <c r="J37" s="1">
        <v>0.1187887</v>
      </c>
      <c r="K37" s="1">
        <v>0.24891720000000001</v>
      </c>
      <c r="L37" s="1">
        <v>0.24985750000000001</v>
      </c>
      <c r="M37" s="1">
        <v>0.25082470000000001</v>
      </c>
      <c r="N37" s="1">
        <v>0.25175360000000002</v>
      </c>
      <c r="O37" s="1">
        <v>0.25269150000000001</v>
      </c>
      <c r="P37" s="1">
        <v>0.25362709999999999</v>
      </c>
      <c r="Q37" s="1">
        <v>0.25454909999999997</v>
      </c>
      <c r="R37" s="1">
        <v>0.25543650000000001</v>
      </c>
      <c r="S37" s="1">
        <v>0.25717240000000002</v>
      </c>
      <c r="T37" s="1">
        <v>0.25885219999999998</v>
      </c>
      <c r="U37" s="1">
        <v>0.26038679999999997</v>
      </c>
      <c r="V37" s="1">
        <v>0.26194200000000001</v>
      </c>
      <c r="W37" s="1">
        <v>0.26340469999999999</v>
      </c>
      <c r="X37" s="1">
        <v>0.26488509999999998</v>
      </c>
      <c r="Y37" s="32">
        <v>0.26629330000000001</v>
      </c>
      <c r="Z37" s="1">
        <v>0.26800790000000002</v>
      </c>
      <c r="AA37" s="1">
        <v>0.27054650000000002</v>
      </c>
      <c r="AB37" s="1">
        <v>0.28098820000000002</v>
      </c>
    </row>
    <row r="38" spans="1:28" x14ac:dyDescent="0.3">
      <c r="A38" s="150"/>
      <c r="B38" s="2" t="s">
        <v>0</v>
      </c>
      <c r="C38" s="35">
        <v>1.6678660000000001E-5</v>
      </c>
      <c r="D38" s="35">
        <v>1.661254E-5</v>
      </c>
      <c r="E38" s="35">
        <v>1.6566949999999999E-5</v>
      </c>
      <c r="F38" s="35">
        <v>1.654353E-5</v>
      </c>
      <c r="G38" s="35">
        <v>1.6546440000000001E-5</v>
      </c>
      <c r="H38" s="35">
        <v>1.658445E-5</v>
      </c>
      <c r="I38" s="35">
        <v>1.6651150000000001E-5</v>
      </c>
      <c r="J38" s="35">
        <v>2.7192300000000001E-5</v>
      </c>
      <c r="K38" s="35">
        <v>1.6855390000000001E-5</v>
      </c>
      <c r="L38" s="35">
        <v>1.6978120000000001E-5</v>
      </c>
      <c r="M38" s="35">
        <v>1.710955E-5</v>
      </c>
      <c r="N38" s="35">
        <v>1.723418E-5</v>
      </c>
      <c r="O38" s="35">
        <v>1.7363999999999998E-5</v>
      </c>
      <c r="P38" s="35">
        <v>1.7495870000000001E-5</v>
      </c>
      <c r="Q38" s="35">
        <v>1.762846E-5</v>
      </c>
      <c r="R38" s="35">
        <v>1.7754500000000001E-5</v>
      </c>
      <c r="S38" s="35">
        <v>1.800711E-5</v>
      </c>
      <c r="T38" s="35">
        <v>1.825737E-5</v>
      </c>
      <c r="U38" s="35">
        <v>1.8482930000000001E-5</v>
      </c>
      <c r="V38" s="35">
        <v>1.8720899999999999E-5</v>
      </c>
      <c r="W38" s="35">
        <v>1.8941880000000001E-5</v>
      </c>
      <c r="X38" s="35">
        <v>1.917149E-5</v>
      </c>
      <c r="Y38" s="36">
        <v>1.939113E-5</v>
      </c>
      <c r="Z38" s="35">
        <v>1.9661169999999999E-5</v>
      </c>
      <c r="AA38" s="35">
        <v>2.0066839999999998E-5</v>
      </c>
      <c r="AB38" s="35">
        <v>2.1850310000000001E-5</v>
      </c>
    </row>
  </sheetData>
  <mergeCells count="2">
    <mergeCell ref="A25:A31"/>
    <mergeCell ref="A32:A38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9"/>
  <sheetViews>
    <sheetView topLeftCell="A22" zoomScale="70" zoomScaleNormal="70" workbookViewId="0">
      <selection activeCell="T33" sqref="T33:T38"/>
    </sheetView>
  </sheetViews>
  <sheetFormatPr defaultRowHeight="15.6" x14ac:dyDescent="0.3"/>
  <cols>
    <col min="1" max="1" width="56.3984375" customWidth="1"/>
    <col min="2" max="2" width="19.796875" customWidth="1"/>
    <col min="20" max="20" width="8.796875" style="52"/>
  </cols>
  <sheetData>
    <row r="1" spans="1:22" x14ac:dyDescent="0.3">
      <c r="A1" s="61" t="s">
        <v>55</v>
      </c>
      <c r="B1" s="62" t="s">
        <v>8</v>
      </c>
      <c r="C1" s="64">
        <v>10</v>
      </c>
    </row>
    <row r="2" spans="1:22" x14ac:dyDescent="0.3">
      <c r="A2" s="3" t="s">
        <v>17</v>
      </c>
      <c r="B2" s="2" t="s">
        <v>1</v>
      </c>
      <c r="C2" s="2">
        <v>40</v>
      </c>
      <c r="D2" s="2">
        <v>40</v>
      </c>
      <c r="E2" s="2">
        <v>40</v>
      </c>
      <c r="F2" s="2">
        <v>40</v>
      </c>
      <c r="G2" s="2">
        <v>40</v>
      </c>
      <c r="H2" s="2">
        <v>40</v>
      </c>
      <c r="I2" s="2">
        <v>40</v>
      </c>
      <c r="J2" s="2">
        <v>40</v>
      </c>
      <c r="K2" s="2">
        <v>40</v>
      </c>
      <c r="L2" s="2">
        <v>40</v>
      </c>
      <c r="M2" s="2">
        <v>40</v>
      </c>
      <c r="N2" s="2">
        <v>40</v>
      </c>
      <c r="O2" s="2">
        <v>40</v>
      </c>
      <c r="P2" s="2">
        <v>40</v>
      </c>
      <c r="Q2" s="2">
        <v>40</v>
      </c>
      <c r="R2" s="2">
        <v>40</v>
      </c>
      <c r="S2" s="2">
        <v>40</v>
      </c>
      <c r="T2" s="53">
        <v>40</v>
      </c>
      <c r="U2" s="2">
        <v>40</v>
      </c>
      <c r="V2" s="2">
        <v>40</v>
      </c>
    </row>
    <row r="3" spans="1:22" x14ac:dyDescent="0.3">
      <c r="A3" s="3" t="s">
        <v>16</v>
      </c>
      <c r="B3" s="2" t="s">
        <v>2</v>
      </c>
      <c r="C3" s="2">
        <v>1.0129999999999999</v>
      </c>
      <c r="D3" s="2">
        <v>1.0129999999999999</v>
      </c>
      <c r="E3" s="2">
        <v>1.0129999999999999</v>
      </c>
      <c r="F3" s="2">
        <v>1.0129999999999999</v>
      </c>
      <c r="G3" s="2">
        <v>1.0129999999999999</v>
      </c>
      <c r="H3" s="2">
        <v>1.0129999999999999</v>
      </c>
      <c r="I3" s="2">
        <v>1.0129999999999999</v>
      </c>
      <c r="J3" s="2">
        <v>1.0129999999999999</v>
      </c>
      <c r="K3" s="2">
        <v>1.0129999999999999</v>
      </c>
      <c r="L3" s="2">
        <v>1.0129999999999999</v>
      </c>
      <c r="M3" s="2">
        <v>1.0129999999999999</v>
      </c>
      <c r="N3" s="2">
        <v>1.0129999999999999</v>
      </c>
      <c r="O3" s="2">
        <v>1.0129999999999999</v>
      </c>
      <c r="P3" s="2">
        <v>1.0129999999999999</v>
      </c>
      <c r="Q3" s="2">
        <v>1.0129999999999999</v>
      </c>
      <c r="R3" s="2">
        <v>1.0129999999999999</v>
      </c>
      <c r="S3" s="2">
        <v>1.0129999999999999</v>
      </c>
      <c r="T3" s="53">
        <v>1.0129999999999999</v>
      </c>
      <c r="U3" s="2">
        <v>1.0129999999999999</v>
      </c>
      <c r="V3" s="2">
        <v>1.0129999999999999</v>
      </c>
    </row>
    <row r="4" spans="1:22" x14ac:dyDescent="0.3">
      <c r="A4" s="3" t="s">
        <v>3</v>
      </c>
      <c r="B4" s="2" t="s">
        <v>1</v>
      </c>
      <c r="C4" s="2">
        <v>40</v>
      </c>
      <c r="D4" s="2">
        <v>40</v>
      </c>
      <c r="E4" s="2">
        <v>40</v>
      </c>
      <c r="F4" s="2">
        <v>40</v>
      </c>
      <c r="G4" s="2">
        <v>40</v>
      </c>
      <c r="H4" s="2">
        <v>40</v>
      </c>
      <c r="I4" s="2">
        <v>40</v>
      </c>
      <c r="J4" s="2">
        <v>40</v>
      </c>
      <c r="K4" s="2">
        <v>40</v>
      </c>
      <c r="L4" s="2">
        <v>40</v>
      </c>
      <c r="M4" s="2">
        <v>40</v>
      </c>
      <c r="N4" s="2">
        <v>40</v>
      </c>
      <c r="O4" s="2">
        <v>40</v>
      </c>
      <c r="P4" s="2">
        <v>40</v>
      </c>
      <c r="Q4" s="2">
        <v>40</v>
      </c>
      <c r="R4" s="2">
        <v>40</v>
      </c>
      <c r="S4" s="2">
        <v>40</v>
      </c>
      <c r="T4" s="53">
        <v>40</v>
      </c>
      <c r="U4" s="2">
        <v>40</v>
      </c>
      <c r="V4" s="2">
        <v>40</v>
      </c>
    </row>
    <row r="5" spans="1:22" x14ac:dyDescent="0.3">
      <c r="A5" s="3" t="s">
        <v>18</v>
      </c>
      <c r="B5" s="2" t="s">
        <v>2</v>
      </c>
      <c r="C5" s="2">
        <v>1.0129999999999999</v>
      </c>
      <c r="D5" s="2">
        <v>1.0129999999999999</v>
      </c>
      <c r="E5" s="2">
        <v>1.0129999999999999</v>
      </c>
      <c r="F5" s="2">
        <v>1.0129999999999999</v>
      </c>
      <c r="G5" s="2">
        <v>1.0129999999999999</v>
      </c>
      <c r="H5" s="2">
        <v>1.0129999999999999</v>
      </c>
      <c r="I5" s="2">
        <v>1.0129999999999999</v>
      </c>
      <c r="J5" s="2">
        <v>1.0129999999999999</v>
      </c>
      <c r="K5" s="2">
        <v>1.0129999999999999</v>
      </c>
      <c r="L5" s="2">
        <v>1.0129999999999999</v>
      </c>
      <c r="M5" s="2">
        <v>1.0129999999999999</v>
      </c>
      <c r="N5" s="2">
        <v>1.0129999999999999</v>
      </c>
      <c r="O5" s="2">
        <v>1.0129999999999999</v>
      </c>
      <c r="P5" s="2">
        <v>1.0129999999999999</v>
      </c>
      <c r="Q5" s="2">
        <v>1.0129999999999999</v>
      </c>
      <c r="R5" s="2">
        <v>1.0129999999999999</v>
      </c>
      <c r="S5" s="2">
        <v>1.0129999999999999</v>
      </c>
      <c r="T5" s="53">
        <v>1.0129999999999999</v>
      </c>
      <c r="U5" s="2">
        <v>1.0129999999999999</v>
      </c>
      <c r="V5" s="2">
        <v>1.0129999999999999</v>
      </c>
    </row>
    <row r="6" spans="1:22" x14ac:dyDescent="0.3">
      <c r="A6" s="3" t="s">
        <v>4</v>
      </c>
      <c r="B6" s="2" t="s">
        <v>5</v>
      </c>
      <c r="C6" s="5">
        <f>'MEA 30%'!$C$6</f>
        <v>5050.3680000000004</v>
      </c>
      <c r="D6" s="5">
        <f>'MEA 30%'!$C$6</f>
        <v>5050.3680000000004</v>
      </c>
      <c r="E6" s="5">
        <f>'MEA 30%'!$C$6</f>
        <v>5050.3680000000004</v>
      </c>
      <c r="F6" s="5">
        <f>'MEA 30%'!$C$6</f>
        <v>5050.3680000000004</v>
      </c>
      <c r="G6" s="5">
        <f>'MEA 30%'!$C$6</f>
        <v>5050.3680000000004</v>
      </c>
      <c r="H6" s="5">
        <f>'MEA 30%'!$C$6</f>
        <v>5050.3680000000004</v>
      </c>
      <c r="I6" s="5">
        <f>'MEA 30%'!$C$6</f>
        <v>5050.3680000000004</v>
      </c>
      <c r="J6" s="5">
        <f>'MEA 30%'!$C$6</f>
        <v>5050.3680000000004</v>
      </c>
      <c r="K6" s="5">
        <f>'MEA 30%'!$C$6</f>
        <v>5050.3680000000004</v>
      </c>
      <c r="L6" s="5">
        <f>'MEA 30%'!$C$6</f>
        <v>5050.3680000000004</v>
      </c>
      <c r="M6" s="5">
        <f>'MEA 30%'!$C$6</f>
        <v>5050.3680000000004</v>
      </c>
      <c r="N6" s="5">
        <f>'MEA 30%'!$C$6</f>
        <v>5050.3680000000004</v>
      </c>
      <c r="O6" s="5">
        <f>'MEA 30%'!$C$6</f>
        <v>5050.3680000000004</v>
      </c>
      <c r="P6" s="5">
        <f>'MEA 30%'!$C$6</f>
        <v>5050.3680000000004</v>
      </c>
      <c r="Q6" s="5">
        <f>'MEA 30%'!$C$6</f>
        <v>5050.3680000000004</v>
      </c>
      <c r="R6" s="5">
        <f>'MEA 30%'!$C$6</f>
        <v>5050.3680000000004</v>
      </c>
      <c r="S6" s="5">
        <f>'MEA 30%'!$C$6</f>
        <v>5050.3680000000004</v>
      </c>
      <c r="T6" s="54">
        <f>'MEA 30%'!$C$6</f>
        <v>5050.3680000000004</v>
      </c>
      <c r="U6" s="5">
        <f>'MEA 30%'!$C$6</f>
        <v>5050.3680000000004</v>
      </c>
      <c r="V6" s="5">
        <f>'MEA 30%'!$C$6</f>
        <v>5050.3680000000004</v>
      </c>
    </row>
    <row r="7" spans="1:22" x14ac:dyDescent="0.3">
      <c r="A7" s="6" t="s">
        <v>6</v>
      </c>
      <c r="B7" s="22" t="s">
        <v>5</v>
      </c>
      <c r="C7" s="31">
        <f>C8*C6</f>
        <v>2525.1840000000002</v>
      </c>
      <c r="D7" s="31">
        <f t="shared" ref="D7:V7" si="0">D8*D6</f>
        <v>3030.2208000000001</v>
      </c>
      <c r="E7" s="31">
        <f t="shared" si="0"/>
        <v>3535.2575999999999</v>
      </c>
      <c r="F7" s="31">
        <f t="shared" si="0"/>
        <v>4040.2944000000007</v>
      </c>
      <c r="G7" s="31">
        <f t="shared" si="0"/>
        <v>5050.3680000000004</v>
      </c>
      <c r="H7" s="31">
        <f t="shared" si="0"/>
        <v>6060.4416000000001</v>
      </c>
      <c r="I7" s="31">
        <f t="shared" si="0"/>
        <v>7070.5151999999998</v>
      </c>
      <c r="J7" s="31">
        <f t="shared" si="0"/>
        <v>8080.5888000000014</v>
      </c>
      <c r="K7" s="31">
        <f t="shared" si="0"/>
        <v>9090.6624000000011</v>
      </c>
      <c r="L7" s="31">
        <f t="shared" si="0"/>
        <v>10100.736000000001</v>
      </c>
      <c r="M7" s="31">
        <f t="shared" si="0"/>
        <v>12625.920000000002</v>
      </c>
      <c r="N7" s="31">
        <f t="shared" si="0"/>
        <v>15151.104000000001</v>
      </c>
      <c r="O7" s="31">
        <f t="shared" si="0"/>
        <v>17676.288</v>
      </c>
      <c r="P7" s="31">
        <f t="shared" si="0"/>
        <v>20201.472000000002</v>
      </c>
      <c r="Q7" s="31">
        <f t="shared" si="0"/>
        <v>22726.656000000003</v>
      </c>
      <c r="R7" s="31">
        <f t="shared" si="0"/>
        <v>25251.840000000004</v>
      </c>
      <c r="S7" s="31">
        <f t="shared" si="0"/>
        <v>27777.024000000001</v>
      </c>
      <c r="T7" s="55">
        <f t="shared" si="0"/>
        <v>30195.1401984</v>
      </c>
      <c r="U7" s="31">
        <f t="shared" si="0"/>
        <v>32827.392</v>
      </c>
      <c r="V7" s="31">
        <f t="shared" si="0"/>
        <v>35352.576000000001</v>
      </c>
    </row>
    <row r="8" spans="1:22" x14ac:dyDescent="0.3">
      <c r="A8" s="3" t="s">
        <v>7</v>
      </c>
      <c r="B8" s="2" t="s">
        <v>29</v>
      </c>
      <c r="C8" s="29">
        <v>0.5</v>
      </c>
      <c r="D8" s="30">
        <v>0.6</v>
      </c>
      <c r="E8" s="29">
        <v>0.7</v>
      </c>
      <c r="F8" s="30">
        <v>0.8</v>
      </c>
      <c r="G8" s="30">
        <v>1</v>
      </c>
      <c r="H8" s="30">
        <v>1.2</v>
      </c>
      <c r="I8" s="30">
        <v>1.4</v>
      </c>
      <c r="J8" s="30">
        <v>1.6</v>
      </c>
      <c r="K8" s="30">
        <v>1.8</v>
      </c>
      <c r="L8" s="30">
        <v>2</v>
      </c>
      <c r="M8" s="48">
        <v>2.5</v>
      </c>
      <c r="N8" s="49">
        <v>3</v>
      </c>
      <c r="O8" s="48">
        <v>3.5</v>
      </c>
      <c r="P8" s="49">
        <v>4</v>
      </c>
      <c r="Q8" s="48">
        <v>4.5</v>
      </c>
      <c r="R8" s="49">
        <v>5</v>
      </c>
      <c r="S8" s="48">
        <v>5.5</v>
      </c>
      <c r="T8" s="56">
        <v>5.9787999999999997</v>
      </c>
      <c r="U8" s="48">
        <v>6.5</v>
      </c>
      <c r="V8" s="49">
        <v>7</v>
      </c>
    </row>
    <row r="9" spans="1:22" ht="18" x14ac:dyDescent="0.4">
      <c r="A9" s="3" t="s">
        <v>32</v>
      </c>
      <c r="B9" s="2" t="s">
        <v>5</v>
      </c>
      <c r="C9" s="1">
        <v>802.09379999999999</v>
      </c>
      <c r="D9" s="1">
        <v>802.09379999999999</v>
      </c>
      <c r="E9" s="1">
        <v>802.09379999999999</v>
      </c>
      <c r="F9" s="1">
        <v>802.09379999999999</v>
      </c>
      <c r="G9" s="1">
        <v>802.09379999999999</v>
      </c>
      <c r="H9" s="1">
        <v>802.09379999999999</v>
      </c>
      <c r="I9" s="1">
        <v>802.09379999999999</v>
      </c>
      <c r="J9" s="1">
        <v>802.09379999999999</v>
      </c>
      <c r="K9" s="1">
        <v>802.09379999999999</v>
      </c>
      <c r="L9" s="1">
        <v>802.09379999999999</v>
      </c>
      <c r="M9" s="1">
        <v>802.09379999999999</v>
      </c>
      <c r="N9" s="1">
        <v>802.09379999999999</v>
      </c>
      <c r="O9" s="1">
        <v>802.09379999999999</v>
      </c>
      <c r="P9" s="1">
        <v>802.09379999999999</v>
      </c>
      <c r="Q9" s="1">
        <v>802.09379999999999</v>
      </c>
      <c r="R9" s="1">
        <v>802.09379999999999</v>
      </c>
      <c r="S9" s="1">
        <v>802.09379999999999</v>
      </c>
      <c r="T9" s="55">
        <v>802.09379999999999</v>
      </c>
      <c r="U9" s="1">
        <v>802.09379999999999</v>
      </c>
      <c r="V9" s="1">
        <v>802.09379999999999</v>
      </c>
    </row>
    <row r="10" spans="1:22" ht="18" x14ac:dyDescent="0.4">
      <c r="A10" s="3" t="s">
        <v>33</v>
      </c>
      <c r="B10" s="2" t="s">
        <v>5</v>
      </c>
      <c r="C10" s="1">
        <v>723.43600000000004</v>
      </c>
      <c r="D10" s="1">
        <v>708.26829999999995</v>
      </c>
      <c r="E10" s="1">
        <v>693.40880000000004</v>
      </c>
      <c r="F10" s="1">
        <v>678.74159999999995</v>
      </c>
      <c r="G10" s="1">
        <v>650.57420000000002</v>
      </c>
      <c r="H10" s="1">
        <v>623.30730000000005</v>
      </c>
      <c r="I10" s="1">
        <v>596.9085</v>
      </c>
      <c r="J10" s="1">
        <v>571.25400000000002</v>
      </c>
      <c r="K10" s="1">
        <v>546.17769999999996</v>
      </c>
      <c r="L10" s="1">
        <v>521.67880000000002</v>
      </c>
      <c r="M10" s="1">
        <v>462.26060000000001</v>
      </c>
      <c r="N10" s="1">
        <v>404.73759999999999</v>
      </c>
      <c r="O10" s="1">
        <v>348.50420000000003</v>
      </c>
      <c r="P10" s="1">
        <v>293.15359999999998</v>
      </c>
      <c r="Q10" s="1">
        <v>238.45419999999999</v>
      </c>
      <c r="R10" s="1">
        <v>184.2885</v>
      </c>
      <c r="S10" s="1">
        <v>130.69059999999999</v>
      </c>
      <c r="T10" s="55">
        <v>80.165409999999994</v>
      </c>
      <c r="U10" s="1">
        <v>27.31399</v>
      </c>
      <c r="V10" s="35">
        <v>2.5954990000000001E-5</v>
      </c>
    </row>
    <row r="11" spans="1:22" x14ac:dyDescent="0.3">
      <c r="A11" s="3" t="s">
        <v>49</v>
      </c>
      <c r="B11" s="2" t="s">
        <v>5</v>
      </c>
      <c r="C11" s="1">
        <v>78.657880000000006</v>
      </c>
      <c r="D11" s="1">
        <v>93.825540000000004</v>
      </c>
      <c r="E11" s="1">
        <v>108.68510000000001</v>
      </c>
      <c r="F11" s="1">
        <v>123.3523</v>
      </c>
      <c r="G11" s="1">
        <v>151.5197</v>
      </c>
      <c r="H11" s="1">
        <v>178.78649999999999</v>
      </c>
      <c r="I11" s="1">
        <v>205.18530000000001</v>
      </c>
      <c r="J11" s="1">
        <v>230.8398</v>
      </c>
      <c r="K11" s="1">
        <v>255.9162</v>
      </c>
      <c r="L11" s="1">
        <v>280.4151</v>
      </c>
      <c r="M11" s="1">
        <v>339.83330000000001</v>
      </c>
      <c r="N11" s="1">
        <v>397.3562</v>
      </c>
      <c r="O11" s="1">
        <v>453.58960000000002</v>
      </c>
      <c r="P11" s="1">
        <v>508.94</v>
      </c>
      <c r="Q11" s="1">
        <v>563.63959999999997</v>
      </c>
      <c r="R11" s="1">
        <v>617.80529999999999</v>
      </c>
      <c r="S11" s="1">
        <v>671.40329999999994</v>
      </c>
      <c r="T11" s="55">
        <v>721.92840000000001</v>
      </c>
      <c r="U11" s="1">
        <v>774.77980000000002</v>
      </c>
      <c r="V11" s="1">
        <v>802.09379999999999</v>
      </c>
    </row>
    <row r="12" spans="1:22" ht="18" x14ac:dyDescent="0.4">
      <c r="A12" s="3" t="s">
        <v>19</v>
      </c>
      <c r="B12" s="2" t="s">
        <v>8</v>
      </c>
      <c r="C12" s="30">
        <f>(C9-C10)/C9*100</f>
        <v>9.8065587840225099</v>
      </c>
      <c r="D12" s="30">
        <f t="shared" ref="D12:V12" si="1">(D9-D10)/D9*100</f>
        <v>11.697572029605521</v>
      </c>
      <c r="E12" s="30">
        <f t="shared" si="1"/>
        <v>13.550160841537478</v>
      </c>
      <c r="F12" s="30">
        <f t="shared" si="1"/>
        <v>15.378774901389344</v>
      </c>
      <c r="G12" s="30">
        <f t="shared" si="1"/>
        <v>18.890508815801841</v>
      </c>
      <c r="H12" s="30">
        <f t="shared" si="1"/>
        <v>22.289974065377383</v>
      </c>
      <c r="I12" s="30">
        <f t="shared" si="1"/>
        <v>25.581210077923554</v>
      </c>
      <c r="J12" s="30">
        <f t="shared" si="1"/>
        <v>28.779651457223576</v>
      </c>
      <c r="K12" s="30">
        <f t="shared" si="1"/>
        <v>31.906006504476164</v>
      </c>
      <c r="L12" s="30">
        <f t="shared" si="1"/>
        <v>34.960374958639498</v>
      </c>
      <c r="M12" s="30">
        <f t="shared" si="1"/>
        <v>42.36826166715165</v>
      </c>
      <c r="N12" s="30">
        <f t="shared" si="1"/>
        <v>49.539866783660464</v>
      </c>
      <c r="O12" s="30">
        <f t="shared" si="1"/>
        <v>56.550692699532149</v>
      </c>
      <c r="P12" s="30">
        <f t="shared" si="1"/>
        <v>63.451456675017312</v>
      </c>
      <c r="Q12" s="30">
        <f t="shared" si="1"/>
        <v>70.27103313851822</v>
      </c>
      <c r="R12" s="30">
        <f t="shared" si="1"/>
        <v>77.02407124952218</v>
      </c>
      <c r="S12" s="30">
        <f t="shared" si="1"/>
        <v>83.706319634935468</v>
      </c>
      <c r="T12" s="55">
        <f t="shared" si="1"/>
        <v>90.005481902490715</v>
      </c>
      <c r="U12" s="30">
        <f t="shared" si="1"/>
        <v>96.594663865996722</v>
      </c>
      <c r="V12" s="30">
        <f t="shared" si="1"/>
        <v>99.999996764095428</v>
      </c>
    </row>
    <row r="13" spans="1:22" x14ac:dyDescent="0.3">
      <c r="A13" s="3" t="s">
        <v>20</v>
      </c>
      <c r="B13" s="2" t="s">
        <v>1</v>
      </c>
      <c r="C13" s="1">
        <v>33.833640000000003</v>
      </c>
      <c r="D13" s="1">
        <v>35.881</v>
      </c>
      <c r="E13" s="1">
        <v>37.586660000000002</v>
      </c>
      <c r="F13" s="1">
        <v>38.685119999999998</v>
      </c>
      <c r="G13" s="1">
        <v>41.286479999999997</v>
      </c>
      <c r="H13" s="1">
        <v>40.962209999999999</v>
      </c>
      <c r="I13" s="1">
        <v>44.249319999999997</v>
      </c>
      <c r="J13" s="1">
        <v>45.237050000000004</v>
      </c>
      <c r="K13" s="1">
        <v>46.007339999999999</v>
      </c>
      <c r="L13" s="1">
        <v>46.609690000000001</v>
      </c>
      <c r="M13" s="1">
        <v>47.600430000000003</v>
      </c>
      <c r="N13" s="1">
        <v>48.109020000000001</v>
      </c>
      <c r="O13" s="1">
        <v>48.324129999999997</v>
      </c>
      <c r="P13" s="1">
        <v>48.345910000000003</v>
      </c>
      <c r="Q13" s="1">
        <v>48.22336</v>
      </c>
      <c r="R13" s="1">
        <v>47.974710000000002</v>
      </c>
      <c r="S13" s="1">
        <v>47.580590000000001</v>
      </c>
      <c r="T13" s="55">
        <v>46.989260000000002</v>
      </c>
      <c r="U13" s="1">
        <v>45.737839999999998</v>
      </c>
      <c r="V13" s="1">
        <v>40.528619999999997</v>
      </c>
    </row>
    <row r="14" spans="1:22" ht="18" x14ac:dyDescent="0.4">
      <c r="A14" s="3" t="s">
        <v>21</v>
      </c>
      <c r="B14" s="2" t="s">
        <v>1</v>
      </c>
      <c r="C14" s="1">
        <v>16.88879</v>
      </c>
      <c r="D14" s="1">
        <v>17.899529999999999</v>
      </c>
      <c r="E14" s="1">
        <v>19.007829999999998</v>
      </c>
      <c r="F14" s="1">
        <v>20.064450000000001</v>
      </c>
      <c r="G14" s="1">
        <v>22.400939999999999</v>
      </c>
      <c r="H14" s="1">
        <v>24.503399999999999</v>
      </c>
      <c r="I14" s="1">
        <v>26.414069999999999</v>
      </c>
      <c r="J14" s="1">
        <v>28.138010000000001</v>
      </c>
      <c r="K14" s="1">
        <v>29.68695</v>
      </c>
      <c r="L14" s="1">
        <v>31.07855</v>
      </c>
      <c r="M14" s="1">
        <v>33.98565</v>
      </c>
      <c r="N14" s="1">
        <v>36.252090000000003</v>
      </c>
      <c r="O14" s="1">
        <v>38.047170000000001</v>
      </c>
      <c r="P14" s="1">
        <v>39.492579999999997</v>
      </c>
      <c r="Q14" s="1">
        <v>40.682699999999997</v>
      </c>
      <c r="R14" s="1">
        <v>41.682560000000002</v>
      </c>
      <c r="S14" s="1">
        <v>42.548520000000003</v>
      </c>
      <c r="T14" s="55">
        <v>43.306640000000002</v>
      </c>
      <c r="U14" s="1">
        <v>44.164319999999996</v>
      </c>
      <c r="V14" s="1">
        <v>45.599629999999998</v>
      </c>
    </row>
    <row r="15" spans="1:22" x14ac:dyDescent="0.3">
      <c r="A15" s="3" t="s">
        <v>57</v>
      </c>
      <c r="B15" s="2" t="s">
        <v>5</v>
      </c>
      <c r="C15" s="35">
        <v>9.8065620000000007E-5</v>
      </c>
      <c r="D15" s="1">
        <v>1.350786E-4</v>
      </c>
      <c r="E15" s="1">
        <v>1.759276E-4</v>
      </c>
      <c r="F15" s="1">
        <v>2.0846880000000001E-4</v>
      </c>
      <c r="G15" s="1">
        <v>3.1008080000000001E-4</v>
      </c>
      <c r="H15" s="1">
        <v>4.0075259999999998E-4</v>
      </c>
      <c r="I15" s="1">
        <v>4.8751760000000002E-4</v>
      </c>
      <c r="J15" s="1">
        <v>5.6797309999999997E-4</v>
      </c>
      <c r="K15" s="1">
        <v>6.4121519999999995E-4</v>
      </c>
      <c r="L15" s="1">
        <v>7.0677730000000001E-4</v>
      </c>
      <c r="M15" s="1">
        <v>8.3928789999999996E-4</v>
      </c>
      <c r="N15" s="1">
        <v>9.3475760000000002E-4</v>
      </c>
      <c r="O15" s="1">
        <v>1.0045379999999999E-3</v>
      </c>
      <c r="P15" s="1">
        <v>1.058088E-3</v>
      </c>
      <c r="Q15" s="1">
        <v>1.103897E-3</v>
      </c>
      <c r="R15" s="1">
        <v>1.147515E-3</v>
      </c>
      <c r="S15" s="1">
        <v>1.195467E-3</v>
      </c>
      <c r="T15" s="55">
        <v>1.253002E-3</v>
      </c>
      <c r="U15" s="1">
        <v>1.351854E-3</v>
      </c>
      <c r="V15" s="1">
        <v>1.2496899999999999E-3</v>
      </c>
    </row>
    <row r="16" spans="1:22" ht="18" x14ac:dyDescent="0.4">
      <c r="A16" s="3" t="s">
        <v>22</v>
      </c>
      <c r="B16" s="2" t="s">
        <v>56</v>
      </c>
      <c r="C16" s="1">
        <f>1787.273/2401.802</f>
        <v>0.74413835944844742</v>
      </c>
      <c r="D16" s="1">
        <f>2131.914/2882.162</f>
        <v>0.73969263351608983</v>
      </c>
      <c r="E16" s="1">
        <f>2469.555/3362.522</f>
        <v>0.73443534347135864</v>
      </c>
      <c r="F16" s="1">
        <f>2802.824/3842.882</f>
        <v>0.72935468744551613</v>
      </c>
      <c r="G16" s="1">
        <f>3442.847/4803.603</f>
        <v>0.71672180236376737</v>
      </c>
      <c r="H16" s="1">
        <f>4062.406/5764.323</f>
        <v>0.70474988996973276</v>
      </c>
      <c r="I16" s="1">
        <f>4662.243/6725.043</f>
        <v>0.69326590179423397</v>
      </c>
      <c r="J16" s="1">
        <f>5245.167/7685.764</f>
        <v>0.68245225848725</v>
      </c>
      <c r="K16" s="1">
        <f>5814.956/8646.483</f>
        <v>0.67252268928302983</v>
      </c>
      <c r="L16" s="1">
        <f>6371.623/9607.204</f>
        <v>0.66321304304561446</v>
      </c>
      <c r="M16" s="1">
        <f>7721.73/12009.01</f>
        <v>0.64299471813246878</v>
      </c>
      <c r="N16" s="1">
        <f>9028.771/14410.81</f>
        <v>0.62652765528100096</v>
      </c>
      <c r="O16" s="1">
        <f>10306.51/16812.61</f>
        <v>0.61302260624614502</v>
      </c>
      <c r="P16" s="1">
        <f>11564.19/19214.41</f>
        <v>0.60184986164030019</v>
      </c>
      <c r="Q16" s="1">
        <f>12807.08/21616.21</f>
        <v>0.59247573927159292</v>
      </c>
      <c r="R16" s="1">
        <f>14037.84/24018.02</f>
        <v>0.58447115957102214</v>
      </c>
      <c r="S16" s="1">
        <f>15255.7/26419.82</f>
        <v>0.57743391135897215</v>
      </c>
      <c r="T16" s="55">
        <f>16403.74/28719.78</f>
        <v>0.57116523873093739</v>
      </c>
      <c r="U16" s="1">
        <f>17604.63/31223.42</f>
        <v>0.56382772931344494</v>
      </c>
      <c r="V16" s="1">
        <f>18225.26/33625.23</f>
        <v>0.5420114598472634</v>
      </c>
    </row>
    <row r="17" spans="1:22" ht="18" x14ac:dyDescent="0.4">
      <c r="A17" s="3" t="s">
        <v>23</v>
      </c>
      <c r="B17" s="2" t="s">
        <v>1</v>
      </c>
      <c r="C17" s="1">
        <v>65</v>
      </c>
      <c r="D17" s="1">
        <v>65</v>
      </c>
      <c r="E17" s="1">
        <v>65</v>
      </c>
      <c r="F17" s="1">
        <v>65</v>
      </c>
      <c r="G17" s="1">
        <v>65</v>
      </c>
      <c r="H17" s="1">
        <v>65</v>
      </c>
      <c r="I17" s="1">
        <v>65</v>
      </c>
      <c r="J17" s="1">
        <v>65</v>
      </c>
      <c r="K17" s="1">
        <v>65</v>
      </c>
      <c r="L17" s="1">
        <v>65</v>
      </c>
      <c r="M17" s="1">
        <v>65</v>
      </c>
      <c r="N17" s="1">
        <v>65</v>
      </c>
      <c r="O17" s="1">
        <v>65</v>
      </c>
      <c r="P17" s="1">
        <v>65</v>
      </c>
      <c r="Q17" s="1">
        <v>65</v>
      </c>
      <c r="R17" s="1">
        <v>65</v>
      </c>
      <c r="S17" s="1">
        <v>65</v>
      </c>
      <c r="T17" s="55">
        <v>65</v>
      </c>
      <c r="U17" s="1">
        <v>65</v>
      </c>
      <c r="V17" s="1">
        <v>65</v>
      </c>
    </row>
    <row r="18" spans="1:22" ht="18" x14ac:dyDescent="0.4">
      <c r="A18" s="3" t="s">
        <v>24</v>
      </c>
      <c r="B18" s="2" t="s">
        <v>56</v>
      </c>
      <c r="C18" s="1">
        <f>504.3785/2401.802</f>
        <v>0.21000003330832431</v>
      </c>
      <c r="D18" s="1">
        <f>605.254/2882.162</f>
        <v>0.20999999306076483</v>
      </c>
      <c r="E18" s="1">
        <f>706.1295/3362.522</f>
        <v>0.20999996431250115</v>
      </c>
      <c r="F18" s="1">
        <f>807.0052/3842.882</f>
        <v>0.20999999479557269</v>
      </c>
      <c r="G18" s="1">
        <f>1008.756/4803.603</f>
        <v>0.20999986884844563</v>
      </c>
      <c r="H18" s="1">
        <f>1314.616/6260.079</f>
        <v>0.20999990575198813</v>
      </c>
      <c r="I18" s="1">
        <v>0.21</v>
      </c>
      <c r="J18" s="1">
        <v>0.21</v>
      </c>
      <c r="K18" s="1">
        <v>0.21</v>
      </c>
      <c r="L18" s="1">
        <v>0.21</v>
      </c>
      <c r="M18" s="1">
        <v>0.21</v>
      </c>
      <c r="N18" s="1">
        <v>0.21</v>
      </c>
      <c r="O18" s="1">
        <v>0.21</v>
      </c>
      <c r="P18" s="1">
        <v>0.21</v>
      </c>
      <c r="Q18" s="1">
        <v>0.21</v>
      </c>
      <c r="R18" s="1">
        <v>0.21</v>
      </c>
      <c r="S18" s="1">
        <v>0.21</v>
      </c>
      <c r="T18" s="55">
        <v>0.21</v>
      </c>
      <c r="U18" s="1">
        <v>0.21</v>
      </c>
      <c r="V18" s="1">
        <v>0.21</v>
      </c>
    </row>
    <row r="19" spans="1:22" x14ac:dyDescent="0.3">
      <c r="A19" s="3" t="s">
        <v>25</v>
      </c>
      <c r="B19" s="2" t="s">
        <v>10</v>
      </c>
      <c r="C19" s="30">
        <v>565.02300000000002</v>
      </c>
      <c r="D19" s="30">
        <v>680.82600000000002</v>
      </c>
      <c r="E19" s="30">
        <v>797.03</v>
      </c>
      <c r="F19" s="30">
        <v>906.44899999999996</v>
      </c>
      <c r="G19" s="30">
        <v>1147.8599999999999</v>
      </c>
      <c r="H19" s="30">
        <v>1383.34</v>
      </c>
      <c r="I19" s="30">
        <v>1619.77</v>
      </c>
      <c r="J19" s="30">
        <v>1857.03</v>
      </c>
      <c r="K19" s="30">
        <v>2094.7199999999998</v>
      </c>
      <c r="L19" s="30">
        <v>2332.4299999999998</v>
      </c>
      <c r="M19" s="30">
        <v>2921.76</v>
      </c>
      <c r="N19" s="30">
        <v>3504.3</v>
      </c>
      <c r="O19" s="30">
        <v>4084.64</v>
      </c>
      <c r="P19" s="30">
        <v>4663.7700000000004</v>
      </c>
      <c r="Q19" s="30">
        <v>5242.3500000000004</v>
      </c>
      <c r="R19" s="30">
        <v>5820.32</v>
      </c>
      <c r="S19" s="30">
        <v>6397.82</v>
      </c>
      <c r="T19" s="55">
        <v>6950.16</v>
      </c>
      <c r="U19" s="30">
        <v>7549.67</v>
      </c>
      <c r="V19" s="30">
        <v>8094.62</v>
      </c>
    </row>
    <row r="20" spans="1:22" ht="18" x14ac:dyDescent="0.4">
      <c r="A20" s="3" t="s">
        <v>26</v>
      </c>
      <c r="B20" s="2" t="s">
        <v>1</v>
      </c>
      <c r="C20" s="1">
        <v>114.63200000000001</v>
      </c>
      <c r="D20" s="1">
        <v>114.6434</v>
      </c>
      <c r="E20" s="1">
        <v>114.6525</v>
      </c>
      <c r="F20" s="1">
        <v>114.66240000000001</v>
      </c>
      <c r="G20" s="1">
        <v>114.6742</v>
      </c>
      <c r="H20" s="1">
        <v>114.68600000000001</v>
      </c>
      <c r="I20" s="1">
        <v>114.69540000000001</v>
      </c>
      <c r="J20" s="1">
        <v>114.7045</v>
      </c>
      <c r="K20" s="1">
        <v>114.71259999999999</v>
      </c>
      <c r="L20" s="1">
        <v>114.7189</v>
      </c>
      <c r="M20" s="1">
        <v>114.733</v>
      </c>
      <c r="N20" s="1">
        <v>114.7444</v>
      </c>
      <c r="O20" s="1">
        <v>114.75320000000001</v>
      </c>
      <c r="P20" s="1">
        <v>114.7594</v>
      </c>
      <c r="Q20" s="1">
        <v>114.765</v>
      </c>
      <c r="R20" s="1">
        <v>114.77</v>
      </c>
      <c r="S20" s="1">
        <v>114.7744</v>
      </c>
      <c r="T20" s="55">
        <v>114.77809999999999</v>
      </c>
      <c r="U20" s="1">
        <v>114.78230000000001</v>
      </c>
      <c r="V20" s="1">
        <v>114.78830000000001</v>
      </c>
    </row>
    <row r="21" spans="1:22" x14ac:dyDescent="0.3">
      <c r="A21" s="3" t="s">
        <v>58</v>
      </c>
      <c r="B21" s="2" t="s">
        <v>5</v>
      </c>
      <c r="C21" s="35">
        <v>2.760523E-5</v>
      </c>
      <c r="D21" s="35">
        <v>3.2664209999999999E-5</v>
      </c>
      <c r="E21" s="35">
        <v>3.7543860000000002E-5</v>
      </c>
      <c r="F21" s="35">
        <v>4.1893239999999998E-7</v>
      </c>
      <c r="G21" s="35">
        <v>5.123887E-5</v>
      </c>
      <c r="H21" s="35">
        <v>5.967121E-5</v>
      </c>
      <c r="I21" s="35">
        <v>6.7680790000000004E-5</v>
      </c>
      <c r="J21" s="35">
        <v>7.5337479999999993E-5</v>
      </c>
      <c r="K21" s="35">
        <v>8.2781760000000005E-5</v>
      </c>
      <c r="L21" s="35">
        <v>9.0096139999999996E-5</v>
      </c>
      <c r="M21" s="1">
        <v>1.094274E-4</v>
      </c>
      <c r="N21" s="1">
        <v>1.3013050000000001E-4</v>
      </c>
      <c r="O21" s="1">
        <v>1.5095589999999999E-4</v>
      </c>
      <c r="P21" s="1">
        <v>1.716864E-4</v>
      </c>
      <c r="Q21" s="1">
        <v>1.922862E-4</v>
      </c>
      <c r="R21" s="1">
        <v>2.127846E-4</v>
      </c>
      <c r="S21" s="1">
        <v>2.331535E-4</v>
      </c>
      <c r="T21" s="55">
        <v>2.5251439999999999E-4</v>
      </c>
      <c r="U21" s="1">
        <v>2.7325590000000001E-4</v>
      </c>
      <c r="V21" s="1">
        <v>2.9028659999999999E-4</v>
      </c>
    </row>
    <row r="22" spans="1:22" x14ac:dyDescent="0.3">
      <c r="A22" s="3" t="s">
        <v>59</v>
      </c>
      <c r="B22" s="2" t="s">
        <v>5</v>
      </c>
      <c r="C22" s="1">
        <f>C21+C15</f>
        <v>1.2567085E-4</v>
      </c>
      <c r="D22" s="1">
        <f t="shared" ref="D22:V22" si="2">D21+D15</f>
        <v>1.6774280999999998E-4</v>
      </c>
      <c r="E22" s="1">
        <f t="shared" si="2"/>
        <v>2.1347145999999999E-4</v>
      </c>
      <c r="F22" s="1">
        <f t="shared" si="2"/>
        <v>2.0888773240000002E-4</v>
      </c>
      <c r="G22" s="1">
        <f t="shared" si="2"/>
        <v>3.6131967000000001E-4</v>
      </c>
      <c r="H22" s="1">
        <f t="shared" si="2"/>
        <v>4.6042380999999997E-4</v>
      </c>
      <c r="I22" s="1">
        <f t="shared" si="2"/>
        <v>5.5519838999999998E-4</v>
      </c>
      <c r="J22" s="1">
        <f t="shared" si="2"/>
        <v>6.4331057999999998E-4</v>
      </c>
      <c r="K22" s="1">
        <f t="shared" si="2"/>
        <v>7.2399695999999993E-4</v>
      </c>
      <c r="L22" s="1">
        <f t="shared" si="2"/>
        <v>7.9687344E-4</v>
      </c>
      <c r="M22" s="1">
        <f t="shared" si="2"/>
        <v>9.4871529999999993E-4</v>
      </c>
      <c r="N22" s="1">
        <f t="shared" si="2"/>
        <v>1.0648881E-3</v>
      </c>
      <c r="O22" s="1">
        <f t="shared" si="2"/>
        <v>1.1554938999999999E-3</v>
      </c>
      <c r="P22" s="1">
        <f t="shared" si="2"/>
        <v>1.2297744E-3</v>
      </c>
      <c r="Q22" s="1">
        <f t="shared" si="2"/>
        <v>1.2961831999999999E-3</v>
      </c>
      <c r="R22" s="1">
        <f t="shared" si="2"/>
        <v>1.3602995999999999E-3</v>
      </c>
      <c r="S22" s="1">
        <f t="shared" si="2"/>
        <v>1.4286205E-3</v>
      </c>
      <c r="T22" s="55">
        <f t="shared" si="2"/>
        <v>1.5055164000000001E-3</v>
      </c>
      <c r="U22" s="1">
        <f t="shared" si="2"/>
        <v>1.6251098999999999E-3</v>
      </c>
      <c r="V22" s="1">
        <f t="shared" si="2"/>
        <v>1.5399766E-3</v>
      </c>
    </row>
    <row r="23" spans="1:22" x14ac:dyDescent="0.3">
      <c r="A23" s="3" t="s">
        <v>60</v>
      </c>
      <c r="B23" s="2" t="s">
        <v>52</v>
      </c>
      <c r="C23" s="1">
        <f>C22/C11*1000</f>
        <v>1.5976892588511157E-3</v>
      </c>
      <c r="D23" s="1">
        <f t="shared" ref="D23:V23" si="3">D22/D11*1000</f>
        <v>1.787816089307879E-3</v>
      </c>
      <c r="E23" s="1">
        <f t="shared" si="3"/>
        <v>1.9641281095568756E-3</v>
      </c>
      <c r="F23" s="1">
        <f t="shared" si="3"/>
        <v>1.6934238956225383E-3</v>
      </c>
      <c r="G23" s="1">
        <f t="shared" si="3"/>
        <v>2.3846382351601805E-3</v>
      </c>
      <c r="H23" s="1">
        <f t="shared" si="3"/>
        <v>2.575271678790065E-3</v>
      </c>
      <c r="I23" s="1">
        <f t="shared" si="3"/>
        <v>2.7058390147832222E-3</v>
      </c>
      <c r="J23" s="1">
        <f t="shared" si="3"/>
        <v>2.7868269683130899E-3</v>
      </c>
      <c r="K23" s="1">
        <f t="shared" si="3"/>
        <v>2.8290391932984309E-3</v>
      </c>
      <c r="L23" s="1">
        <f t="shared" si="3"/>
        <v>2.8417636568073544E-3</v>
      </c>
      <c r="M23" s="1">
        <f t="shared" si="3"/>
        <v>2.7917078755966525E-3</v>
      </c>
      <c r="N23" s="1">
        <f t="shared" si="3"/>
        <v>2.6799332689410658E-3</v>
      </c>
      <c r="O23" s="1">
        <f t="shared" si="3"/>
        <v>2.547443548088404E-3</v>
      </c>
      <c r="P23" s="1">
        <f t="shared" si="3"/>
        <v>2.4163445592800723E-3</v>
      </c>
      <c r="Q23" s="1">
        <f t="shared" si="3"/>
        <v>2.2996666664301087E-3</v>
      </c>
      <c r="R23" s="1">
        <f t="shared" si="3"/>
        <v>2.201825720821754E-3</v>
      </c>
      <c r="S23" s="1">
        <f t="shared" si="3"/>
        <v>2.1278127468244497E-3</v>
      </c>
      <c r="T23" s="55">
        <f t="shared" si="3"/>
        <v>2.0854095780135536E-3</v>
      </c>
      <c r="U23" s="1">
        <f t="shared" si="3"/>
        <v>2.0975119640444934E-3</v>
      </c>
      <c r="V23" s="1">
        <f t="shared" si="3"/>
        <v>1.9199457719284202E-3</v>
      </c>
    </row>
    <row r="24" spans="1:22" x14ac:dyDescent="0.3">
      <c r="A24" s="3" t="s">
        <v>34</v>
      </c>
      <c r="B24" s="2" t="s">
        <v>28</v>
      </c>
      <c r="C24" s="1">
        <f>C19/C11</f>
        <v>7.1832981005844552</v>
      </c>
      <c r="D24" s="1">
        <f t="shared" ref="D24:V24" si="4">D19/D11</f>
        <v>7.2562971659955275</v>
      </c>
      <c r="E24" s="1">
        <f t="shared" si="4"/>
        <v>7.3333879252997871</v>
      </c>
      <c r="F24" s="1">
        <f t="shared" si="4"/>
        <v>7.3484564130543166</v>
      </c>
      <c r="G24" s="1">
        <f t="shared" si="4"/>
        <v>7.5756485790296573</v>
      </c>
      <c r="H24" s="1">
        <f t="shared" si="4"/>
        <v>7.7373850933935167</v>
      </c>
      <c r="I24" s="1">
        <f t="shared" si="4"/>
        <v>7.8941815032558367</v>
      </c>
      <c r="J24" s="1">
        <f t="shared" si="4"/>
        <v>8.0446699399323691</v>
      </c>
      <c r="K24" s="1">
        <f t="shared" si="4"/>
        <v>8.1851793673085158</v>
      </c>
      <c r="L24" s="1">
        <f t="shared" si="4"/>
        <v>8.3177760398780229</v>
      </c>
      <c r="M24" s="1">
        <f t="shared" si="4"/>
        <v>8.5976271307137946</v>
      </c>
      <c r="N24" s="1">
        <f t="shared" si="4"/>
        <v>8.8190394411865221</v>
      </c>
      <c r="O24" s="1">
        <f t="shared" si="4"/>
        <v>9.0051447387682604</v>
      </c>
      <c r="P24" s="1">
        <f t="shared" si="4"/>
        <v>9.1636931661885495</v>
      </c>
      <c r="Q24" s="1">
        <f t="shared" si="4"/>
        <v>9.3008901432759519</v>
      </c>
      <c r="R24" s="1">
        <f t="shared" si="4"/>
        <v>9.4209615877364605</v>
      </c>
      <c r="S24" s="1">
        <f t="shared" si="4"/>
        <v>9.5290267414533112</v>
      </c>
      <c r="T24" s="55">
        <f t="shared" si="4"/>
        <v>9.6272151088667517</v>
      </c>
      <c r="U24" s="1">
        <f t="shared" si="4"/>
        <v>9.7442783097855674</v>
      </c>
      <c r="V24" s="1">
        <f t="shared" si="4"/>
        <v>10.091862073986858</v>
      </c>
    </row>
    <row r="25" spans="1:22" x14ac:dyDescent="0.3">
      <c r="A25" s="150" t="s">
        <v>27</v>
      </c>
      <c r="B25" s="12" t="s">
        <v>36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55"/>
      <c r="U25" s="1"/>
      <c r="V25" s="1"/>
    </row>
    <row r="26" spans="1:22" x14ac:dyDescent="0.3">
      <c r="A26" s="150"/>
      <c r="B26" s="2" t="s">
        <v>11</v>
      </c>
      <c r="C26" s="1">
        <v>0.87036720000000001</v>
      </c>
      <c r="D26" s="1">
        <v>0.87072269999999996</v>
      </c>
      <c r="E26" s="1">
        <v>0.87110480000000001</v>
      </c>
      <c r="F26" s="1">
        <v>0.87146279999999998</v>
      </c>
      <c r="G26" s="1">
        <v>0.87212460000000003</v>
      </c>
      <c r="H26" s="1">
        <v>0.87266529999999998</v>
      </c>
      <c r="I26" s="1">
        <v>0.87308249999999998</v>
      </c>
      <c r="J26" s="1">
        <v>0.87340119999999999</v>
      </c>
      <c r="K26" s="1">
        <v>0.87362430000000002</v>
      </c>
      <c r="L26" s="1">
        <v>0.8737279</v>
      </c>
      <c r="M26" s="1">
        <v>0.87313430000000003</v>
      </c>
      <c r="N26" s="1">
        <v>0.87189749999999999</v>
      </c>
      <c r="O26" s="1">
        <v>0.87071259999999995</v>
      </c>
      <c r="P26" s="1">
        <v>8.8858619999999996E-3</v>
      </c>
      <c r="Q26" s="1">
        <v>0.7359156</v>
      </c>
      <c r="R26" s="1">
        <v>0.86797000000000002</v>
      </c>
      <c r="S26" s="1">
        <v>0.86725680000000005</v>
      </c>
      <c r="T26" s="55">
        <v>0.86660959999999998</v>
      </c>
      <c r="U26" s="1">
        <v>0.86583779999999999</v>
      </c>
      <c r="V26" s="1">
        <v>0.86319769999999996</v>
      </c>
    </row>
    <row r="27" spans="1:22" x14ac:dyDescent="0.3">
      <c r="A27" s="150"/>
      <c r="B27" s="2" t="s">
        <v>12</v>
      </c>
      <c r="C27" s="1">
        <v>1.0046670000000001E-2</v>
      </c>
      <c r="D27" s="1">
        <v>9.6573460000000007E-3</v>
      </c>
      <c r="E27" s="1">
        <v>9.2507830000000003E-3</v>
      </c>
      <c r="F27" s="1">
        <v>8.8924339999999994E-3</v>
      </c>
      <c r="G27" s="1">
        <v>8.1488270000000008E-3</v>
      </c>
      <c r="H27" s="1">
        <v>7.5645280000000001E-3</v>
      </c>
      <c r="I27" s="1">
        <v>7.0900690000000001E-3</v>
      </c>
      <c r="J27" s="1">
        <v>6.7050749999999996E-3</v>
      </c>
      <c r="K27" s="1">
        <v>6.3831419999999996E-3</v>
      </c>
      <c r="L27" s="1">
        <v>6.1190380000000003E-3</v>
      </c>
      <c r="M27" s="1">
        <v>5.6244839999999999E-3</v>
      </c>
      <c r="N27" s="1">
        <v>5.2870349999999998E-3</v>
      </c>
      <c r="O27" s="1">
        <v>5.0477660000000004E-3</v>
      </c>
      <c r="P27" s="35">
        <v>3.3221069999999999E-6</v>
      </c>
      <c r="Q27" s="1">
        <v>2.756826E-3</v>
      </c>
      <c r="R27" s="1">
        <v>4.6318039999999998E-3</v>
      </c>
      <c r="S27" s="1">
        <v>4.5456669999999998E-3</v>
      </c>
      <c r="T27" s="55">
        <v>4.4748460000000002E-3</v>
      </c>
      <c r="U27" s="1">
        <v>4.4025779999999999E-3</v>
      </c>
      <c r="V27" s="1">
        <v>4.5008649999999997E-3</v>
      </c>
    </row>
    <row r="28" spans="1:22" x14ac:dyDescent="0.3">
      <c r="A28" s="150"/>
      <c r="B28" s="2" t="s">
        <v>13</v>
      </c>
      <c r="C28" s="1">
        <v>5.5048589999999995E-4</v>
      </c>
      <c r="D28" s="35">
        <v>5.4453200000000002E-4</v>
      </c>
      <c r="E28" s="1">
        <v>5.3807639999999999E-4</v>
      </c>
      <c r="F28" s="1">
        <v>5.3277399999999996E-4</v>
      </c>
      <c r="G28" s="1">
        <v>5.2062739999999999E-4</v>
      </c>
      <c r="H28" s="1">
        <v>5.1192309999999999E-4</v>
      </c>
      <c r="I28" s="1">
        <v>5.0544849999999998E-4</v>
      </c>
      <c r="J28" s="1">
        <v>5.0077420000000001E-4</v>
      </c>
      <c r="K28" s="1">
        <v>4.9730529999999996E-4</v>
      </c>
      <c r="L28" s="1">
        <v>4.9502900000000002E-4</v>
      </c>
      <c r="M28" s="1">
        <v>4.9210669999999999E-4</v>
      </c>
      <c r="N28" s="1">
        <v>4.9158130000000004E-4</v>
      </c>
      <c r="O28" s="1">
        <v>4.9250159999999999E-4</v>
      </c>
      <c r="P28" s="35">
        <v>7.6600809999999997E-22</v>
      </c>
      <c r="Q28" s="1">
        <v>6.6029170000000005E-4</v>
      </c>
      <c r="R28" s="1">
        <v>4.9833039999999998E-4</v>
      </c>
      <c r="S28" s="1">
        <v>5.0058100000000005E-4</v>
      </c>
      <c r="T28" s="55">
        <v>5.0289409999999997E-4</v>
      </c>
      <c r="U28" s="1">
        <v>5.0612889999999998E-4</v>
      </c>
      <c r="V28" s="1">
        <v>5.3070009999999998E-4</v>
      </c>
    </row>
    <row r="29" spans="1:22" x14ac:dyDescent="0.3">
      <c r="A29" s="150"/>
      <c r="B29" s="2" t="s">
        <v>14</v>
      </c>
      <c r="C29" s="35">
        <v>9.623554E-5</v>
      </c>
      <c r="D29" s="35">
        <v>9.5208790000000002E-5</v>
      </c>
      <c r="E29" s="35">
        <v>9.4084590000000003E-5</v>
      </c>
      <c r="F29" s="35">
        <v>9.3151390000000003E-5</v>
      </c>
      <c r="G29" s="35">
        <v>9.0980050000000003E-5</v>
      </c>
      <c r="H29" s="35">
        <v>8.9377940000000006E-5</v>
      </c>
      <c r="I29" s="35">
        <v>8.8144250000000006E-5</v>
      </c>
      <c r="J29" s="35">
        <v>8.7212679999999998E-5</v>
      </c>
      <c r="K29" s="35">
        <v>8.6485110000000004E-5</v>
      </c>
      <c r="L29" s="35">
        <v>8.5964289999999999E-5</v>
      </c>
      <c r="M29" s="35">
        <v>8.5153109999999997E-5</v>
      </c>
      <c r="N29" s="35">
        <v>8.4785809999999998E-5</v>
      </c>
      <c r="O29" s="35">
        <v>8.4701050000000005E-5</v>
      </c>
      <c r="P29" s="35">
        <v>2.0987680000000001E-21</v>
      </c>
      <c r="Q29" s="35">
        <v>9.8953100000000006E-5</v>
      </c>
      <c r="R29" s="35">
        <v>8.5141800000000005E-5</v>
      </c>
      <c r="S29" s="35">
        <v>8.5379880000000004E-5</v>
      </c>
      <c r="T29" s="57">
        <v>8.5641840000000007E-5</v>
      </c>
      <c r="U29" s="35">
        <v>8.6037750000000001E-5</v>
      </c>
      <c r="V29" s="35">
        <v>8.9932819999999995E-5</v>
      </c>
    </row>
    <row r="30" spans="1:22" x14ac:dyDescent="0.3">
      <c r="A30" s="150"/>
      <c r="B30" s="2" t="s">
        <v>15</v>
      </c>
      <c r="C30" s="1">
        <v>0.118939</v>
      </c>
      <c r="D30" s="35">
        <v>0.1189798</v>
      </c>
      <c r="E30" s="1">
        <v>0.1190119</v>
      </c>
      <c r="F30" s="1">
        <v>0.1190184</v>
      </c>
      <c r="G30" s="1">
        <v>0.1191145</v>
      </c>
      <c r="H30" s="1">
        <v>0.1191685</v>
      </c>
      <c r="I30" s="1">
        <v>0.1192334</v>
      </c>
      <c r="J30" s="1">
        <v>0.11930540000000001</v>
      </c>
      <c r="K30" s="1">
        <v>0.1194083</v>
      </c>
      <c r="L30" s="1">
        <v>0.1195717</v>
      </c>
      <c r="M30" s="1">
        <v>0.12066350000000001</v>
      </c>
      <c r="N30" s="1">
        <v>0.1222385</v>
      </c>
      <c r="O30" s="1">
        <v>0.12366190000000001</v>
      </c>
      <c r="P30" s="1">
        <v>0.89002630000000005</v>
      </c>
      <c r="Q30" s="1">
        <v>0.26056820000000003</v>
      </c>
      <c r="R30" s="1">
        <v>0.12681429999999999</v>
      </c>
      <c r="S30" s="1">
        <v>0.12761130000000001</v>
      </c>
      <c r="T30" s="55">
        <v>0.1283263</v>
      </c>
      <c r="U30" s="1">
        <v>0.129167</v>
      </c>
      <c r="V30" s="1">
        <v>0.1316804</v>
      </c>
    </row>
    <row r="31" spans="1:22" x14ac:dyDescent="0.3">
      <c r="A31" s="150"/>
      <c r="B31" s="2" t="s">
        <v>55</v>
      </c>
      <c r="C31" s="35">
        <v>4.2555100000000002E-7</v>
      </c>
      <c r="D31" s="35">
        <v>4.2330980000000001E-7</v>
      </c>
      <c r="E31" s="35">
        <v>4.2140619999999999E-7</v>
      </c>
      <c r="F31" s="35">
        <v>4.1893239999999998E-7</v>
      </c>
      <c r="G31" s="35">
        <v>4.1714790000000001E-7</v>
      </c>
      <c r="H31" s="35">
        <v>4.148843E-7</v>
      </c>
      <c r="I31" s="35">
        <v>4.131313E-7</v>
      </c>
      <c r="J31" s="35">
        <v>4.1174520000000002E-7</v>
      </c>
      <c r="K31" s="35">
        <v>4.108994E-7</v>
      </c>
      <c r="L31" s="35">
        <v>4.1080089999999998E-7</v>
      </c>
      <c r="M31" s="35">
        <v>4.175091E-7</v>
      </c>
      <c r="N31" s="35">
        <v>4.294977E-7</v>
      </c>
      <c r="O31" s="35">
        <v>4.4076669999999999E-7</v>
      </c>
      <c r="P31" s="1">
        <v>0.10108449999999999</v>
      </c>
      <c r="Q31" s="35">
        <v>1.6279350000000001E-7</v>
      </c>
      <c r="R31" s="35">
        <v>4.6659250000000001E-7</v>
      </c>
      <c r="S31" s="35">
        <v>4.7329199999999997E-7</v>
      </c>
      <c r="T31" s="57">
        <v>4.7937070000000003E-7</v>
      </c>
      <c r="U31" s="35">
        <v>4.8661139999999998E-7</v>
      </c>
      <c r="V31" s="35">
        <v>5.0999669999999998E-7</v>
      </c>
    </row>
    <row r="32" spans="1:22" x14ac:dyDescent="0.3">
      <c r="A32" s="150" t="s">
        <v>27</v>
      </c>
      <c r="B32" s="12" t="s">
        <v>35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55"/>
      <c r="U32" s="1"/>
      <c r="V32" s="1"/>
    </row>
    <row r="33" spans="1:22" x14ac:dyDescent="0.3">
      <c r="A33" s="150"/>
      <c r="B33" s="2" t="s">
        <v>11</v>
      </c>
      <c r="C33" s="1">
        <v>0.74464830000000004</v>
      </c>
      <c r="D33" s="1">
        <v>0.74483969999999999</v>
      </c>
      <c r="E33" s="1">
        <v>0.74505849999999996</v>
      </c>
      <c r="F33" s="1">
        <v>0.74528939999999999</v>
      </c>
      <c r="G33" s="1">
        <v>0.74562349999999999</v>
      </c>
      <c r="H33" s="1">
        <v>0.745923</v>
      </c>
      <c r="I33" s="1">
        <v>0.74612780000000001</v>
      </c>
      <c r="J33" s="1">
        <v>0.7462588</v>
      </c>
      <c r="K33" s="1">
        <v>0.74629199999999996</v>
      </c>
      <c r="L33" s="1">
        <v>0.74617849999999997</v>
      </c>
      <c r="M33" s="1">
        <v>0.74457260000000003</v>
      </c>
      <c r="N33" s="1">
        <v>0.74201340000000005</v>
      </c>
      <c r="O33" s="1">
        <v>0.73966460000000001</v>
      </c>
      <c r="P33" s="1">
        <v>4035.0250000000001</v>
      </c>
      <c r="Q33" s="1">
        <v>0.86876549999999997</v>
      </c>
      <c r="R33" s="1">
        <v>0.73441330000000005</v>
      </c>
      <c r="S33" s="1">
        <v>0.73307900000000004</v>
      </c>
      <c r="T33" s="55">
        <v>0.73187919999999995</v>
      </c>
      <c r="U33" s="1">
        <v>0.73046370000000005</v>
      </c>
      <c r="V33" s="1">
        <v>0.72602429999999996</v>
      </c>
    </row>
    <row r="34" spans="1:22" x14ac:dyDescent="0.3">
      <c r="A34" s="150"/>
      <c r="B34" s="2" t="s">
        <v>12</v>
      </c>
      <c r="C34" s="1">
        <v>5.9047479999999996E-3</v>
      </c>
      <c r="D34" s="1">
        <v>5.6750699999999999E-3</v>
      </c>
      <c r="E34" s="1">
        <v>5.4353689999999998E-3</v>
      </c>
      <c r="F34" s="1">
        <v>5.224289E-3</v>
      </c>
      <c r="G34" s="1">
        <v>4.785933E-3</v>
      </c>
      <c r="H34" s="1">
        <v>4.4417959999999996E-3</v>
      </c>
      <c r="I34" s="1">
        <v>4.1623529999999997E-3</v>
      </c>
      <c r="J34" s="1">
        <v>3.9355889999999998E-3</v>
      </c>
      <c r="K34" s="1">
        <v>3.7458389999999999E-3</v>
      </c>
      <c r="L34" s="1">
        <v>3.589882E-3</v>
      </c>
      <c r="M34" s="1">
        <v>3.2948769999999999E-3</v>
      </c>
      <c r="N34" s="1">
        <v>3.0909280000000002E-3</v>
      </c>
      <c r="O34" s="1">
        <v>2.945708E-3</v>
      </c>
      <c r="P34" s="1">
        <v>1.036313</v>
      </c>
      <c r="Q34" s="1">
        <v>4.7375459999999996E-3</v>
      </c>
      <c r="R34" s="1">
        <v>2.692257E-3</v>
      </c>
      <c r="S34" s="1">
        <v>2.6395569999999998E-3</v>
      </c>
      <c r="T34" s="55">
        <v>2.5961180000000001E-3</v>
      </c>
      <c r="U34" s="1">
        <v>2.5515239999999999E-3</v>
      </c>
      <c r="V34" s="1">
        <v>2.6005630000000002E-3</v>
      </c>
    </row>
    <row r="35" spans="1:22" x14ac:dyDescent="0.3">
      <c r="A35" s="150"/>
      <c r="B35" s="2" t="s">
        <v>13</v>
      </c>
      <c r="C35" s="1">
        <v>7.398967E-4</v>
      </c>
      <c r="D35" s="1">
        <v>7.3178350000000002E-4</v>
      </c>
      <c r="E35" s="1">
        <v>7.2300299999999995E-4</v>
      </c>
      <c r="F35" s="1">
        <v>7.1580600000000004E-4</v>
      </c>
      <c r="G35" s="1">
        <v>6.9926910000000001E-4</v>
      </c>
      <c r="H35" s="1">
        <v>6.8742800000000002E-4</v>
      </c>
      <c r="I35" s="1">
        <v>6.7859569999999996E-4</v>
      </c>
      <c r="J35" s="1">
        <v>6.7219280000000001E-4</v>
      </c>
      <c r="K35" s="1">
        <v>6.6739570000000001E-4</v>
      </c>
      <c r="L35" s="1">
        <v>6.6416089999999999E-4</v>
      </c>
      <c r="M35" s="1">
        <v>6.5926709999999998E-4</v>
      </c>
      <c r="N35" s="1">
        <v>6.5723050000000003E-4</v>
      </c>
      <c r="O35" s="1">
        <v>6.5727009999999998E-4</v>
      </c>
      <c r="P35" s="35">
        <v>5.4645739999999998E-16</v>
      </c>
      <c r="Q35" s="1">
        <v>4.9617420000000001E-4</v>
      </c>
      <c r="R35" s="1">
        <v>6.6241390000000002E-4</v>
      </c>
      <c r="S35" s="1">
        <v>6.6474269999999998E-4</v>
      </c>
      <c r="T35" s="55">
        <v>6.6721930000000003E-4</v>
      </c>
      <c r="U35" s="1">
        <v>6.7080989999999995E-4</v>
      </c>
      <c r="V35" s="1">
        <v>7.0123929999999998E-4</v>
      </c>
    </row>
    <row r="36" spans="1:22" x14ac:dyDescent="0.3">
      <c r="A36" s="150"/>
      <c r="B36" s="2" t="s">
        <v>14</v>
      </c>
      <c r="C36" s="1">
        <v>1.1323980000000001E-4</v>
      </c>
      <c r="D36" s="1">
        <v>1.120147E-4</v>
      </c>
      <c r="E36" s="1">
        <v>1.10676E-4</v>
      </c>
      <c r="F36" s="1">
        <v>1.095672E-4</v>
      </c>
      <c r="G36" s="1">
        <v>1.069799E-4</v>
      </c>
      <c r="H36" s="35">
        <v>1.050731E-4</v>
      </c>
      <c r="I36" s="1">
        <v>1.0360169999999999E-4</v>
      </c>
      <c r="J36" s="1">
        <v>1.024873E-4</v>
      </c>
      <c r="K36" s="1">
        <v>1.0161090000000001E-4</v>
      </c>
      <c r="L36" s="1">
        <v>1.009717E-4</v>
      </c>
      <c r="M36" s="35">
        <v>9.9871469999999999E-5</v>
      </c>
      <c r="N36" s="35">
        <v>9.9239449999999994E-5</v>
      </c>
      <c r="O36" s="35">
        <v>9.8960929999999998E-5</v>
      </c>
      <c r="P36" s="35">
        <v>1.310769E-15</v>
      </c>
      <c r="Q36" s="35">
        <v>8.4935450000000003E-5</v>
      </c>
      <c r="R36" s="35">
        <v>9.9081740000000007E-5</v>
      </c>
      <c r="S36" s="35">
        <v>9.9259809999999995E-5</v>
      </c>
      <c r="T36" s="57">
        <v>9.9475649999999997E-5</v>
      </c>
      <c r="U36" s="35">
        <v>9.9831139999999996E-5</v>
      </c>
      <c r="V36" s="1">
        <v>1.0403370000000001E-4</v>
      </c>
    </row>
    <row r="37" spans="1:22" x14ac:dyDescent="0.3">
      <c r="A37" s="150"/>
      <c r="B37" s="2" t="s">
        <v>15</v>
      </c>
      <c r="C37" s="1">
        <v>0.2485936</v>
      </c>
      <c r="D37" s="1">
        <v>0.24864130000000001</v>
      </c>
      <c r="E37" s="1">
        <v>0.24867230000000001</v>
      </c>
      <c r="F37" s="1">
        <v>0.24866079999999999</v>
      </c>
      <c r="G37" s="1">
        <v>0.24878420000000001</v>
      </c>
      <c r="H37" s="1">
        <v>0.2488426</v>
      </c>
      <c r="I37" s="1">
        <v>0.2489275</v>
      </c>
      <c r="J37" s="1">
        <v>0.24903069999999999</v>
      </c>
      <c r="K37" s="1">
        <v>0.24919289999999999</v>
      </c>
      <c r="L37" s="1">
        <v>0.2494664</v>
      </c>
      <c r="M37" s="1">
        <v>0.25137330000000002</v>
      </c>
      <c r="N37" s="1">
        <v>0.25413910000000001</v>
      </c>
      <c r="O37" s="1">
        <v>0.25663330000000001</v>
      </c>
      <c r="P37" s="1">
        <v>987339.8</v>
      </c>
      <c r="Q37" s="1">
        <v>0.12591540000000001</v>
      </c>
      <c r="R37" s="1">
        <v>0.2621327</v>
      </c>
      <c r="S37" s="1">
        <v>0.26351730000000001</v>
      </c>
      <c r="T37" s="55">
        <v>0.26475779999999999</v>
      </c>
      <c r="U37" s="1">
        <v>0.2662139</v>
      </c>
      <c r="V37" s="1">
        <v>0.27056970000000002</v>
      </c>
    </row>
    <row r="38" spans="1:22" x14ac:dyDescent="0.3">
      <c r="A38" s="150"/>
      <c r="B38" s="2" t="s">
        <v>55</v>
      </c>
      <c r="C38" s="35">
        <v>1.524039E-7</v>
      </c>
      <c r="D38" s="35">
        <v>1.5157830000000001E-7</v>
      </c>
      <c r="E38" s="35">
        <v>1.508748E-7</v>
      </c>
      <c r="F38" s="35">
        <v>1.499739E-7</v>
      </c>
      <c r="G38" s="35">
        <v>1.492887E-7</v>
      </c>
      <c r="H38" s="35">
        <v>1.4844619999999999E-7</v>
      </c>
      <c r="I38" s="35">
        <v>1.4778890000000001E-7</v>
      </c>
      <c r="J38" s="35">
        <v>1.472652E-7</v>
      </c>
      <c r="K38" s="35">
        <v>1.4693160000000001E-7</v>
      </c>
      <c r="L38" s="35">
        <v>1.468567E-7</v>
      </c>
      <c r="M38" s="35">
        <v>1.490348E-7</v>
      </c>
      <c r="N38" s="35">
        <v>1.530041E-7</v>
      </c>
      <c r="O38" s="35">
        <v>1.5673449999999999E-7</v>
      </c>
      <c r="P38" s="1">
        <v>19214.41</v>
      </c>
      <c r="Q38" s="35">
        <v>4.591091E-7</v>
      </c>
      <c r="R38" s="35">
        <v>1.6526059999999999E-7</v>
      </c>
      <c r="S38" s="35">
        <v>1.6746650000000001E-7</v>
      </c>
      <c r="T38" s="57">
        <v>1.694662E-7</v>
      </c>
      <c r="U38" s="35">
        <v>1.7184629999999999E-7</v>
      </c>
      <c r="V38" s="35">
        <v>1.795577E-7</v>
      </c>
    </row>
    <row r="39" spans="1:22" x14ac:dyDescent="0.3">
      <c r="F39" s="23"/>
    </row>
  </sheetData>
  <mergeCells count="2">
    <mergeCell ref="A25:A31"/>
    <mergeCell ref="A32:A38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8"/>
  <sheetViews>
    <sheetView topLeftCell="C28" zoomScale="80" zoomScaleNormal="80" workbookViewId="0">
      <selection activeCell="AB33" sqref="AB33:AB38"/>
    </sheetView>
  </sheetViews>
  <sheetFormatPr defaultRowHeight="15.6" x14ac:dyDescent="0.3"/>
  <cols>
    <col min="1" max="1" width="59.19921875" customWidth="1"/>
    <col min="2" max="2" width="23.5" customWidth="1"/>
    <col min="28" max="28" width="8.796875" style="24"/>
  </cols>
  <sheetData>
    <row r="1" spans="1:29" x14ac:dyDescent="0.3">
      <c r="A1" s="61" t="s">
        <v>62</v>
      </c>
      <c r="B1" s="62" t="s">
        <v>8</v>
      </c>
      <c r="C1" s="65">
        <v>0.1</v>
      </c>
    </row>
    <row r="2" spans="1:29" x14ac:dyDescent="0.3">
      <c r="A2" s="3" t="s">
        <v>17</v>
      </c>
      <c r="B2" s="2" t="s">
        <v>1</v>
      </c>
      <c r="C2" s="50">
        <v>40</v>
      </c>
      <c r="D2" s="50">
        <v>40</v>
      </c>
      <c r="E2" s="50">
        <v>40</v>
      </c>
      <c r="F2" s="50">
        <v>40</v>
      </c>
      <c r="G2" s="50">
        <v>40</v>
      </c>
      <c r="H2" s="50">
        <v>40</v>
      </c>
      <c r="I2" s="50">
        <v>40</v>
      </c>
      <c r="J2" s="50">
        <v>40</v>
      </c>
      <c r="K2" s="50">
        <v>40</v>
      </c>
      <c r="L2" s="50">
        <v>40</v>
      </c>
      <c r="M2" s="50">
        <v>40</v>
      </c>
      <c r="N2" s="50">
        <v>40</v>
      </c>
      <c r="O2" s="50">
        <v>40</v>
      </c>
      <c r="P2" s="50">
        <v>40</v>
      </c>
      <c r="Q2" s="50">
        <v>40</v>
      </c>
      <c r="R2" s="50">
        <v>40</v>
      </c>
      <c r="S2" s="50">
        <v>40</v>
      </c>
      <c r="T2" s="50">
        <v>40</v>
      </c>
      <c r="U2" s="50">
        <v>40</v>
      </c>
      <c r="V2" s="50">
        <v>40</v>
      </c>
      <c r="W2" s="50">
        <v>40</v>
      </c>
      <c r="X2" s="50">
        <v>40</v>
      </c>
      <c r="Y2" s="50">
        <v>40</v>
      </c>
      <c r="Z2" s="58">
        <v>40</v>
      </c>
      <c r="AA2" s="58">
        <v>40</v>
      </c>
      <c r="AB2" s="85">
        <v>40</v>
      </c>
      <c r="AC2" s="58">
        <v>40</v>
      </c>
    </row>
    <row r="3" spans="1:29" x14ac:dyDescent="0.3">
      <c r="A3" s="3" t="s">
        <v>16</v>
      </c>
      <c r="B3" s="2" t="s">
        <v>2</v>
      </c>
      <c r="C3" s="50">
        <v>1.0129999999999999</v>
      </c>
      <c r="D3" s="50">
        <v>1.0129999999999999</v>
      </c>
      <c r="E3" s="50">
        <v>1.0129999999999999</v>
      </c>
      <c r="F3" s="50">
        <v>1.0129999999999999</v>
      </c>
      <c r="G3" s="50">
        <v>1.0129999999999999</v>
      </c>
      <c r="H3" s="50">
        <v>1.0129999999999999</v>
      </c>
      <c r="I3" s="50">
        <v>1.0129999999999999</v>
      </c>
      <c r="J3" s="50">
        <v>1.0129999999999999</v>
      </c>
      <c r="K3" s="50">
        <v>1.0129999999999999</v>
      </c>
      <c r="L3" s="50">
        <v>1.0129999999999999</v>
      </c>
      <c r="M3" s="50">
        <v>1.0129999999999999</v>
      </c>
      <c r="N3" s="50">
        <v>1.0129999999999999</v>
      </c>
      <c r="O3" s="50">
        <v>1.0129999999999999</v>
      </c>
      <c r="P3" s="50">
        <v>1.0129999999999999</v>
      </c>
      <c r="Q3" s="50">
        <v>1.0129999999999999</v>
      </c>
      <c r="R3" s="50">
        <v>1.0129999999999999</v>
      </c>
      <c r="S3" s="50">
        <v>1.0129999999999999</v>
      </c>
      <c r="T3" s="50">
        <v>1.0129999999999999</v>
      </c>
      <c r="U3" s="50">
        <v>1.0129999999999999</v>
      </c>
      <c r="V3" s="50">
        <v>1.0129999999999999</v>
      </c>
      <c r="W3" s="50">
        <v>1.0129999999999999</v>
      </c>
      <c r="X3" s="50">
        <v>1.0129999999999999</v>
      </c>
      <c r="Y3" s="50">
        <v>1.0129999999999999</v>
      </c>
      <c r="Z3" s="58">
        <v>1.0129999999999999</v>
      </c>
      <c r="AA3" s="58">
        <v>1.0129999999999999</v>
      </c>
      <c r="AB3" s="85">
        <v>1.0129999999999999</v>
      </c>
      <c r="AC3" s="58">
        <v>1.0129999999999999</v>
      </c>
    </row>
    <row r="4" spans="1:29" x14ac:dyDescent="0.3">
      <c r="A4" s="3" t="s">
        <v>3</v>
      </c>
      <c r="B4" s="2" t="s">
        <v>1</v>
      </c>
      <c r="C4" s="50">
        <v>40</v>
      </c>
      <c r="D4" s="50">
        <v>40</v>
      </c>
      <c r="E4" s="50">
        <v>40</v>
      </c>
      <c r="F4" s="50">
        <v>40</v>
      </c>
      <c r="G4" s="50">
        <v>40</v>
      </c>
      <c r="H4" s="50">
        <v>40</v>
      </c>
      <c r="I4" s="50">
        <v>40</v>
      </c>
      <c r="J4" s="50">
        <v>40</v>
      </c>
      <c r="K4" s="50">
        <v>40</v>
      </c>
      <c r="L4" s="50">
        <v>40</v>
      </c>
      <c r="M4" s="50">
        <v>40</v>
      </c>
      <c r="N4" s="50">
        <v>40</v>
      </c>
      <c r="O4" s="50">
        <v>40</v>
      </c>
      <c r="P4" s="50">
        <v>40</v>
      </c>
      <c r="Q4" s="50">
        <v>40</v>
      </c>
      <c r="R4" s="50">
        <v>40</v>
      </c>
      <c r="S4" s="50">
        <v>40</v>
      </c>
      <c r="T4" s="50">
        <v>40</v>
      </c>
      <c r="U4" s="50">
        <v>40</v>
      </c>
      <c r="V4" s="50">
        <v>40</v>
      </c>
      <c r="W4" s="50">
        <v>40</v>
      </c>
      <c r="X4" s="50">
        <v>40</v>
      </c>
      <c r="Y4" s="50">
        <v>40</v>
      </c>
      <c r="Z4" s="58">
        <v>40</v>
      </c>
      <c r="AA4" s="58">
        <v>40</v>
      </c>
      <c r="AB4" s="85">
        <v>40</v>
      </c>
      <c r="AC4" s="58">
        <v>40</v>
      </c>
    </row>
    <row r="5" spans="1:29" x14ac:dyDescent="0.3">
      <c r="A5" s="3" t="s">
        <v>18</v>
      </c>
      <c r="B5" s="2" t="s">
        <v>2</v>
      </c>
      <c r="C5" s="50">
        <v>1.0129999999999999</v>
      </c>
      <c r="D5" s="50">
        <v>1.0129999999999999</v>
      </c>
      <c r="E5" s="50">
        <v>1.0129999999999999</v>
      </c>
      <c r="F5" s="50">
        <v>1.0129999999999999</v>
      </c>
      <c r="G5" s="50">
        <v>1.0129999999999999</v>
      </c>
      <c r="H5" s="50">
        <v>1.0129999999999999</v>
      </c>
      <c r="I5" s="50">
        <v>1.0129999999999999</v>
      </c>
      <c r="J5" s="50">
        <v>1.0129999999999999</v>
      </c>
      <c r="K5" s="50">
        <v>1.0129999999999999</v>
      </c>
      <c r="L5" s="50">
        <v>1.0129999999999999</v>
      </c>
      <c r="M5" s="50">
        <v>1.0129999999999999</v>
      </c>
      <c r="N5" s="50">
        <v>1.0129999999999999</v>
      </c>
      <c r="O5" s="50">
        <v>1.0129999999999999</v>
      </c>
      <c r="P5" s="50">
        <v>1.0129999999999999</v>
      </c>
      <c r="Q5" s="50">
        <v>1.0129999999999999</v>
      </c>
      <c r="R5" s="50">
        <v>1.0129999999999999</v>
      </c>
      <c r="S5" s="50">
        <v>1.0129999999999999</v>
      </c>
      <c r="T5" s="50">
        <v>1.0129999999999999</v>
      </c>
      <c r="U5" s="50">
        <v>1.0129999999999999</v>
      </c>
      <c r="V5" s="50">
        <v>1.0129999999999999</v>
      </c>
      <c r="W5" s="50">
        <v>1.0129999999999999</v>
      </c>
      <c r="X5" s="50">
        <v>1.0129999999999999</v>
      </c>
      <c r="Y5" s="50">
        <v>1.0129999999999999</v>
      </c>
      <c r="Z5" s="58">
        <v>1.0129999999999999</v>
      </c>
      <c r="AA5" s="58">
        <v>1.0129999999999999</v>
      </c>
      <c r="AB5" s="85">
        <v>1.0129999999999999</v>
      </c>
      <c r="AC5" s="58">
        <v>1.0129999999999999</v>
      </c>
    </row>
    <row r="6" spans="1:29" x14ac:dyDescent="0.3">
      <c r="A6" s="3" t="s">
        <v>4</v>
      </c>
      <c r="B6" s="2" t="s">
        <v>5</v>
      </c>
      <c r="C6" s="77">
        <f>'MEA 30%'!$C$6</f>
        <v>5050.3680000000004</v>
      </c>
      <c r="D6" s="77">
        <f>'MEA 30%'!$C$6</f>
        <v>5050.3680000000004</v>
      </c>
      <c r="E6" s="77">
        <f>'MEA 30%'!$C$6</f>
        <v>5050.3680000000004</v>
      </c>
      <c r="F6" s="77">
        <f>'MEA 30%'!$C$6</f>
        <v>5050.3680000000004</v>
      </c>
      <c r="G6" s="77">
        <f>'MEA 30%'!$C$6</f>
        <v>5050.3680000000004</v>
      </c>
      <c r="H6" s="77">
        <f>'MEA 30%'!$C$6</f>
        <v>5050.3680000000004</v>
      </c>
      <c r="I6" s="77">
        <f>'MEA 30%'!$C$6</f>
        <v>5050.3680000000004</v>
      </c>
      <c r="J6" s="77">
        <f>'MEA 30%'!$C$6</f>
        <v>5050.3680000000004</v>
      </c>
      <c r="K6" s="77">
        <f>'MEA 30%'!$C$6</f>
        <v>5050.3680000000004</v>
      </c>
      <c r="L6" s="77">
        <f>'MEA 30%'!$C$6</f>
        <v>5050.3680000000004</v>
      </c>
      <c r="M6" s="77">
        <f>'MEA 30%'!$C$6</f>
        <v>5050.3680000000004</v>
      </c>
      <c r="N6" s="77">
        <f>'MEA 30%'!$C$6</f>
        <v>5050.3680000000004</v>
      </c>
      <c r="O6" s="77">
        <f>'MEA 30%'!$C$6</f>
        <v>5050.3680000000004</v>
      </c>
      <c r="P6" s="77">
        <f>'MEA 30%'!$C$6</f>
        <v>5050.3680000000004</v>
      </c>
      <c r="Q6" s="77">
        <f>'MEA 30%'!$C$6</f>
        <v>5050.3680000000004</v>
      </c>
      <c r="R6" s="77">
        <f>'MEA 30%'!$C$6</f>
        <v>5050.3680000000004</v>
      </c>
      <c r="S6" s="77">
        <f>'MEA 30%'!$C$6</f>
        <v>5050.3680000000004</v>
      </c>
      <c r="T6" s="77">
        <f>'MEA 30%'!$C$6</f>
        <v>5050.3680000000004</v>
      </c>
      <c r="U6" s="77">
        <f>'MEA 30%'!$C$6</f>
        <v>5050.3680000000004</v>
      </c>
      <c r="V6" s="77">
        <f>'MEA 30%'!$C$6</f>
        <v>5050.3680000000004</v>
      </c>
      <c r="W6" s="77">
        <f>'MEA 30%'!$C$6</f>
        <v>5050.3680000000004</v>
      </c>
      <c r="X6" s="77">
        <f>'MEA 30%'!$C$6</f>
        <v>5050.3680000000004</v>
      </c>
      <c r="Y6" s="77">
        <f>'MEA 30%'!$C$6</f>
        <v>5050.3680000000004</v>
      </c>
      <c r="Z6" s="77">
        <f>'MEA 30%'!$C$6</f>
        <v>5050.3680000000004</v>
      </c>
      <c r="AA6" s="77">
        <f>'MEA 30%'!$C$6</f>
        <v>5050.3680000000004</v>
      </c>
      <c r="AB6" s="86">
        <f>'MEA 30%'!$C$6</f>
        <v>5050.3680000000004</v>
      </c>
      <c r="AC6" s="77">
        <f>'MEA 30%'!$C$6</f>
        <v>5050.3680000000004</v>
      </c>
    </row>
    <row r="7" spans="1:29" x14ac:dyDescent="0.3">
      <c r="A7" s="6" t="s">
        <v>6</v>
      </c>
      <c r="B7" s="22" t="s">
        <v>5</v>
      </c>
      <c r="C7" s="88">
        <f>C8*C6</f>
        <v>2525.1840000000002</v>
      </c>
      <c r="D7" s="88">
        <f t="shared" ref="D7:AC7" si="0">D8*D6</f>
        <v>3030.2208000000001</v>
      </c>
      <c r="E7" s="88">
        <f t="shared" si="0"/>
        <v>3535.2575999999999</v>
      </c>
      <c r="F7" s="88">
        <f t="shared" si="0"/>
        <v>4040.2944000000007</v>
      </c>
      <c r="G7" s="88">
        <f t="shared" si="0"/>
        <v>4545.3312000000005</v>
      </c>
      <c r="H7" s="88">
        <f t="shared" si="0"/>
        <v>5050.3680000000004</v>
      </c>
      <c r="I7" s="88">
        <f t="shared" si="0"/>
        <v>6060.4416000000001</v>
      </c>
      <c r="J7" s="88">
        <f t="shared" si="0"/>
        <v>7070.5151999999998</v>
      </c>
      <c r="K7" s="88">
        <f t="shared" si="0"/>
        <v>8080.5888000000014</v>
      </c>
      <c r="L7" s="88">
        <f t="shared" si="0"/>
        <v>9090.6624000000011</v>
      </c>
      <c r="M7" s="88">
        <f t="shared" si="0"/>
        <v>10100.736000000001</v>
      </c>
      <c r="N7" s="88">
        <f t="shared" si="0"/>
        <v>12625.920000000002</v>
      </c>
      <c r="O7" s="88">
        <f t="shared" si="0"/>
        <v>15151.104000000001</v>
      </c>
      <c r="P7" s="88">
        <f t="shared" si="0"/>
        <v>17676.288</v>
      </c>
      <c r="Q7" s="88">
        <f t="shared" si="0"/>
        <v>20201.472000000002</v>
      </c>
      <c r="R7" s="88">
        <f t="shared" si="0"/>
        <v>22726.656000000003</v>
      </c>
      <c r="S7" s="88">
        <f t="shared" si="0"/>
        <v>25251.840000000004</v>
      </c>
      <c r="T7" s="88">
        <f t="shared" si="0"/>
        <v>27777.024000000001</v>
      </c>
      <c r="U7" s="88">
        <f t="shared" si="0"/>
        <v>30302.208000000002</v>
      </c>
      <c r="V7" s="88">
        <f t="shared" si="0"/>
        <v>32827.392</v>
      </c>
      <c r="W7" s="88">
        <f t="shared" si="0"/>
        <v>35352.576000000001</v>
      </c>
      <c r="X7" s="88">
        <f t="shared" si="0"/>
        <v>37877.760000000002</v>
      </c>
      <c r="Y7" s="88">
        <f t="shared" si="0"/>
        <v>40402.944000000003</v>
      </c>
      <c r="Z7" s="88">
        <f t="shared" si="0"/>
        <v>42928.128000000004</v>
      </c>
      <c r="AA7" s="88">
        <f t="shared" si="0"/>
        <v>45453.312000000005</v>
      </c>
      <c r="AB7" s="91">
        <f t="shared" si="0"/>
        <v>47796.682752000008</v>
      </c>
      <c r="AC7" s="88">
        <f t="shared" si="0"/>
        <v>50503.680000000008</v>
      </c>
    </row>
    <row r="8" spans="1:29" x14ac:dyDescent="0.3">
      <c r="A8" s="3" t="s">
        <v>7</v>
      </c>
      <c r="B8" s="2" t="s">
        <v>29</v>
      </c>
      <c r="C8" s="89">
        <v>0.5</v>
      </c>
      <c r="D8" s="90">
        <v>0.6</v>
      </c>
      <c r="E8" s="90">
        <v>0.7</v>
      </c>
      <c r="F8" s="90">
        <v>0.8</v>
      </c>
      <c r="G8" s="90">
        <v>0.9</v>
      </c>
      <c r="H8" s="90">
        <v>1</v>
      </c>
      <c r="I8" s="90">
        <v>1.2</v>
      </c>
      <c r="J8" s="90">
        <v>1.4</v>
      </c>
      <c r="K8" s="90">
        <v>1.6</v>
      </c>
      <c r="L8" s="90">
        <v>1.8</v>
      </c>
      <c r="M8" s="90">
        <v>2</v>
      </c>
      <c r="N8" s="90">
        <v>2.5</v>
      </c>
      <c r="O8" s="90">
        <v>3</v>
      </c>
      <c r="P8" s="90">
        <v>3.5</v>
      </c>
      <c r="Q8" s="90">
        <v>4</v>
      </c>
      <c r="R8" s="90">
        <v>4.5</v>
      </c>
      <c r="S8" s="90">
        <v>5</v>
      </c>
      <c r="T8" s="90">
        <v>5.5</v>
      </c>
      <c r="U8" s="90">
        <v>6</v>
      </c>
      <c r="V8" s="90">
        <v>6.5</v>
      </c>
      <c r="W8" s="90">
        <v>7</v>
      </c>
      <c r="X8" s="90">
        <v>7.5</v>
      </c>
      <c r="Y8" s="90">
        <v>8</v>
      </c>
      <c r="Z8" s="90">
        <v>8.5</v>
      </c>
      <c r="AA8" s="90">
        <v>9</v>
      </c>
      <c r="AB8" s="92">
        <v>9.4640000000000004</v>
      </c>
      <c r="AC8" s="90">
        <v>10</v>
      </c>
    </row>
    <row r="9" spans="1:29" ht="18" x14ac:dyDescent="0.4">
      <c r="A9" s="3" t="s">
        <v>32</v>
      </c>
      <c r="B9" s="2" t="s">
        <v>5</v>
      </c>
      <c r="C9" s="1">
        <v>802.09379999999999</v>
      </c>
      <c r="D9" s="1">
        <v>802.09379999999999</v>
      </c>
      <c r="E9" s="1">
        <v>802.09379999999999</v>
      </c>
      <c r="F9" s="1">
        <v>802.09379999999999</v>
      </c>
      <c r="G9" s="1">
        <v>802.09379999999999</v>
      </c>
      <c r="H9" s="1">
        <v>802.09379999999999</v>
      </c>
      <c r="I9" s="1">
        <v>802.09379999999999</v>
      </c>
      <c r="J9" s="1">
        <v>802.09379999999999</v>
      </c>
      <c r="K9" s="1">
        <v>802.09379999999999</v>
      </c>
      <c r="L9" s="1">
        <v>802.09379999999999</v>
      </c>
      <c r="M9" s="1">
        <v>802.09379999999999</v>
      </c>
      <c r="N9" s="1">
        <v>802.09379999999999</v>
      </c>
      <c r="O9" s="1">
        <v>802.09379999999999</v>
      </c>
      <c r="P9" s="1">
        <v>802.09379999999999</v>
      </c>
      <c r="Q9" s="1">
        <v>802.09379999999999</v>
      </c>
      <c r="R9" s="1">
        <v>802.09379999999999</v>
      </c>
      <c r="S9" s="1">
        <v>802.09379999999999</v>
      </c>
      <c r="T9" s="1">
        <v>802.09379999999999</v>
      </c>
      <c r="U9" s="1">
        <v>802.09379999999999</v>
      </c>
      <c r="V9" s="1">
        <v>802.09379999999999</v>
      </c>
      <c r="W9" s="1">
        <v>802.09379999999999</v>
      </c>
      <c r="X9" s="1">
        <v>802.09379999999999</v>
      </c>
      <c r="Y9" s="1">
        <v>802.09379999999999</v>
      </c>
      <c r="Z9" s="1">
        <v>802.09379999999999</v>
      </c>
      <c r="AA9" s="1">
        <v>802.09379999999999</v>
      </c>
      <c r="AB9" s="32">
        <v>802.09379999999999</v>
      </c>
      <c r="AC9" s="1">
        <v>802.09379999999999</v>
      </c>
    </row>
    <row r="10" spans="1:29" ht="18" x14ac:dyDescent="0.4">
      <c r="A10" s="3" t="s">
        <v>33</v>
      </c>
      <c r="B10" s="2" t="s">
        <v>5</v>
      </c>
      <c r="C10" s="51">
        <v>737.97400000000005</v>
      </c>
      <c r="D10" s="51">
        <v>726.1825</v>
      </c>
      <c r="E10" s="51">
        <v>714.89700000000005</v>
      </c>
      <c r="F10" s="51">
        <v>704.07989999999995</v>
      </c>
      <c r="G10" s="51">
        <v>693.70550000000003</v>
      </c>
      <c r="H10" s="51">
        <v>683.72190000000001</v>
      </c>
      <c r="I10" s="51">
        <v>664.79639999999995</v>
      </c>
      <c r="J10" s="51">
        <v>646.9905</v>
      </c>
      <c r="K10" s="51">
        <v>630.08109999999999</v>
      </c>
      <c r="L10" s="51">
        <v>613.86929999999995</v>
      </c>
      <c r="M10" s="51">
        <v>598.19209999999998</v>
      </c>
      <c r="N10" s="51">
        <v>560.65110000000004</v>
      </c>
      <c r="O10" s="51">
        <v>524.55799999999999</v>
      </c>
      <c r="P10" s="51">
        <v>489.17950000000002</v>
      </c>
      <c r="Q10" s="51">
        <v>454.19720000000001</v>
      </c>
      <c r="R10" s="51">
        <v>419.44139999999999</v>
      </c>
      <c r="S10" s="51">
        <v>384.7799</v>
      </c>
      <c r="T10" s="51">
        <v>350.2235</v>
      </c>
      <c r="U10" s="51">
        <v>315.68</v>
      </c>
      <c r="V10" s="51">
        <v>281.1968</v>
      </c>
      <c r="W10" s="51">
        <v>246.86160000000001</v>
      </c>
      <c r="X10" s="51">
        <v>212.55029999999999</v>
      </c>
      <c r="Y10" s="51">
        <v>178.4402</v>
      </c>
      <c r="Z10" s="59">
        <v>144.55099999999999</v>
      </c>
      <c r="AA10" s="59">
        <v>110.90430000000001</v>
      </c>
      <c r="AB10" s="24">
        <v>80.200069999999997</v>
      </c>
      <c r="AC10" s="59">
        <v>45.734850000000002</v>
      </c>
    </row>
    <row r="11" spans="1:29" x14ac:dyDescent="0.3">
      <c r="A11" s="3" t="s">
        <v>49</v>
      </c>
      <c r="B11" s="2" t="s">
        <v>5</v>
      </c>
      <c r="C11" s="51">
        <v>64.119839999999996</v>
      </c>
      <c r="D11" s="51">
        <v>75.911299999999997</v>
      </c>
      <c r="E11" s="51">
        <v>87.196740000000005</v>
      </c>
      <c r="F11" s="51">
        <v>98.013919999999999</v>
      </c>
      <c r="G11" s="51">
        <v>108.3883</v>
      </c>
      <c r="H11" s="51">
        <v>118.3719</v>
      </c>
      <c r="I11" s="51">
        <v>137.29740000000001</v>
      </c>
      <c r="J11" s="51">
        <v>155.10329999999999</v>
      </c>
      <c r="K11" s="51">
        <v>172.0127</v>
      </c>
      <c r="L11" s="51">
        <v>188.2244</v>
      </c>
      <c r="M11" s="51">
        <v>203.90170000000001</v>
      </c>
      <c r="N11" s="51">
        <v>241.44280000000001</v>
      </c>
      <c r="O11" s="51">
        <v>277.53570000000002</v>
      </c>
      <c r="P11" s="51">
        <v>312.91430000000003</v>
      </c>
      <c r="Q11" s="51">
        <v>347.89659999999998</v>
      </c>
      <c r="R11" s="51">
        <v>382.6524</v>
      </c>
      <c r="S11" s="51">
        <v>417.31389999999999</v>
      </c>
      <c r="T11" s="51">
        <v>451.87029999999999</v>
      </c>
      <c r="U11" s="51">
        <v>486.41390000000001</v>
      </c>
      <c r="V11" s="51">
        <v>520.89700000000005</v>
      </c>
      <c r="W11" s="51">
        <v>555.23239999999998</v>
      </c>
      <c r="X11" s="51">
        <v>589.54349999999999</v>
      </c>
      <c r="Y11" s="51">
        <v>623.65380000000005</v>
      </c>
      <c r="Z11" s="59">
        <v>657.54280000000006</v>
      </c>
      <c r="AA11" s="59">
        <v>691.18939999999998</v>
      </c>
      <c r="AB11" s="24">
        <v>721.89369999999997</v>
      </c>
      <c r="AC11" s="59">
        <v>756.35889999999995</v>
      </c>
    </row>
    <row r="12" spans="1:29" ht="18" x14ac:dyDescent="0.4">
      <c r="A12" s="3" t="s">
        <v>19</v>
      </c>
      <c r="B12" s="2" t="s">
        <v>8</v>
      </c>
      <c r="C12" s="60">
        <f>(C9-C10)/C9*100</f>
        <v>7.9940525659218347</v>
      </c>
      <c r="D12" s="60">
        <f t="shared" ref="D12:AC12" si="1">(D9-D10)/D9*100</f>
        <v>9.4641424731122452</v>
      </c>
      <c r="E12" s="60">
        <f t="shared" si="1"/>
        <v>10.871147489233795</v>
      </c>
      <c r="F12" s="60">
        <f t="shared" si="1"/>
        <v>12.21975534532246</v>
      </c>
      <c r="G12" s="60">
        <f t="shared" si="1"/>
        <v>13.513170155410748</v>
      </c>
      <c r="H12" s="60">
        <f t="shared" si="1"/>
        <v>14.757862484412668</v>
      </c>
      <c r="I12" s="60">
        <f t="shared" si="1"/>
        <v>17.117374551455207</v>
      </c>
      <c r="J12" s="60">
        <f t="shared" si="1"/>
        <v>19.337301946480572</v>
      </c>
      <c r="K12" s="60">
        <f t="shared" si="1"/>
        <v>21.445459371460046</v>
      </c>
      <c r="L12" s="60">
        <f t="shared" si="1"/>
        <v>23.466644424878989</v>
      </c>
      <c r="M12" s="60">
        <f t="shared" si="1"/>
        <v>25.421178919473007</v>
      </c>
      <c r="N12" s="60">
        <f t="shared" si="1"/>
        <v>30.101554207251063</v>
      </c>
      <c r="O12" s="60">
        <f t="shared" si="1"/>
        <v>34.601414448035875</v>
      </c>
      <c r="P12" s="60">
        <f t="shared" si="1"/>
        <v>39.012182864398149</v>
      </c>
      <c r="Q12" s="60">
        <f t="shared" si="1"/>
        <v>43.373555561706127</v>
      </c>
      <c r="R12" s="60">
        <f t="shared" si="1"/>
        <v>47.706689666470432</v>
      </c>
      <c r="S12" s="60">
        <f t="shared" si="1"/>
        <v>52.028067041535543</v>
      </c>
      <c r="T12" s="60">
        <f t="shared" si="1"/>
        <v>56.3363412109656</v>
      </c>
      <c r="U12" s="60">
        <f t="shared" si="1"/>
        <v>60.6430070896945</v>
      </c>
      <c r="V12" s="60">
        <f t="shared" si="1"/>
        <v>64.942155144448193</v>
      </c>
      <c r="W12" s="60">
        <f t="shared" si="1"/>
        <v>69.22285149193273</v>
      </c>
      <c r="X12" s="60">
        <f t="shared" si="1"/>
        <v>73.500568138040705</v>
      </c>
      <c r="Y12" s="60">
        <f t="shared" si="1"/>
        <v>77.753200436158465</v>
      </c>
      <c r="Z12" s="60">
        <f t="shared" si="1"/>
        <v>81.978292314440026</v>
      </c>
      <c r="AA12" s="60">
        <f t="shared" si="1"/>
        <v>86.173150821013706</v>
      </c>
      <c r="AB12" s="24">
        <f t="shared" si="1"/>
        <v>90.001160712126193</v>
      </c>
      <c r="AC12" s="60">
        <f t="shared" si="1"/>
        <v>94.298067133794078</v>
      </c>
    </row>
    <row r="13" spans="1:29" x14ac:dyDescent="0.3">
      <c r="A13" s="3" t="s">
        <v>20</v>
      </c>
      <c r="B13" s="2" t="s">
        <v>1</v>
      </c>
      <c r="C13" s="51">
        <v>32.57367</v>
      </c>
      <c r="D13" s="51">
        <v>34.463830000000002</v>
      </c>
      <c r="E13" s="51">
        <v>36.02131</v>
      </c>
      <c r="F13" s="51">
        <v>37.315939999999998</v>
      </c>
      <c r="G13" s="51">
        <v>38.401209999999999</v>
      </c>
      <c r="H13" s="51">
        <v>39.319180000000003</v>
      </c>
      <c r="I13" s="51">
        <v>40.768859999999997</v>
      </c>
      <c r="J13" s="51">
        <v>41.840780000000002</v>
      </c>
      <c r="K13" s="51">
        <v>42.643320000000003</v>
      </c>
      <c r="L13" s="51">
        <v>43.249839999999999</v>
      </c>
      <c r="M13" s="51">
        <v>43.708930000000002</v>
      </c>
      <c r="N13" s="51">
        <v>44.426569999999998</v>
      </c>
      <c r="O13" s="51">
        <v>44.769480000000001</v>
      </c>
      <c r="P13" s="51">
        <v>44.911560000000001</v>
      </c>
      <c r="Q13" s="51">
        <v>44.939570000000003</v>
      </c>
      <c r="R13" s="51">
        <v>44.902160000000002</v>
      </c>
      <c r="S13" s="51">
        <v>44.821460000000002</v>
      </c>
      <c r="T13" s="51">
        <v>44.711730000000003</v>
      </c>
      <c r="U13" s="51">
        <v>44.578000000000003</v>
      </c>
      <c r="V13" s="51">
        <v>44.423340000000003</v>
      </c>
      <c r="W13" s="51">
        <v>44.247970000000002</v>
      </c>
      <c r="X13" s="51">
        <v>44.049199999999999</v>
      </c>
      <c r="Y13" s="51">
        <v>43.822899999999997</v>
      </c>
      <c r="Z13" s="59">
        <v>43.561700000000002</v>
      </c>
      <c r="AA13" s="59">
        <v>43.252519999999997</v>
      </c>
      <c r="AB13" s="24">
        <v>42.905160000000002</v>
      </c>
      <c r="AC13" s="59">
        <v>42.382399999999997</v>
      </c>
    </row>
    <row r="14" spans="1:29" ht="18" x14ac:dyDescent="0.4">
      <c r="A14" s="3" t="s">
        <v>21</v>
      </c>
      <c r="B14" s="2" t="s">
        <v>1</v>
      </c>
      <c r="C14" s="51">
        <v>16.940670000000001</v>
      </c>
      <c r="D14" s="51">
        <v>17.9741</v>
      </c>
      <c r="E14" s="51">
        <v>19.08616</v>
      </c>
      <c r="F14" s="51">
        <v>20.217210000000001</v>
      </c>
      <c r="G14" s="51">
        <v>21.329270000000001</v>
      </c>
      <c r="H14" s="51">
        <v>22.405560000000001</v>
      </c>
      <c r="I14" s="51">
        <v>24.40436</v>
      </c>
      <c r="J14" s="51">
        <v>26.190280000000001</v>
      </c>
      <c r="K14" s="51">
        <v>27.77289</v>
      </c>
      <c r="L14" s="51">
        <v>29.17323</v>
      </c>
      <c r="M14" s="51">
        <v>30.413499999999999</v>
      </c>
      <c r="N14" s="51">
        <v>32.943950000000001</v>
      </c>
      <c r="O14" s="51">
        <v>34.851909999999997</v>
      </c>
      <c r="P14" s="51">
        <v>36.321739999999998</v>
      </c>
      <c r="Q14" s="51">
        <v>37.476320000000001</v>
      </c>
      <c r="R14" s="51">
        <v>38.399850000000001</v>
      </c>
      <c r="S14" s="51">
        <v>39.153329999999997</v>
      </c>
      <c r="T14" s="51">
        <v>39.778030000000001</v>
      </c>
      <c r="U14" s="51">
        <v>40.304859999999998</v>
      </c>
      <c r="V14" s="51">
        <v>40.756010000000003</v>
      </c>
      <c r="W14" s="51">
        <v>41.144840000000002</v>
      </c>
      <c r="X14" s="51">
        <v>41.486530000000002</v>
      </c>
      <c r="Y14" s="51">
        <v>41.789709999999999</v>
      </c>
      <c r="Z14" s="59">
        <v>42.062809999999999</v>
      </c>
      <c r="AA14" s="59">
        <v>42.310479999999998</v>
      </c>
      <c r="AB14" s="24">
        <v>42.52328</v>
      </c>
      <c r="AC14" s="59">
        <v>42.756950000000003</v>
      </c>
    </row>
    <row r="15" spans="1:29" x14ac:dyDescent="0.3">
      <c r="A15" s="3" t="s">
        <v>63</v>
      </c>
      <c r="B15" s="2" t="s">
        <v>5</v>
      </c>
      <c r="C15" s="51">
        <v>3.4145159999999998E-3</v>
      </c>
      <c r="D15" s="51">
        <v>4.3238460000000001E-3</v>
      </c>
      <c r="E15" s="51">
        <v>5.2340620000000003E-3</v>
      </c>
      <c r="F15" s="51">
        <v>6.1210209999999999E-3</v>
      </c>
      <c r="G15" s="51">
        <v>6.9689390000000004E-3</v>
      </c>
      <c r="H15" s="51">
        <v>7.7693440000000001E-3</v>
      </c>
      <c r="I15" s="51">
        <v>9.2090100000000001E-3</v>
      </c>
      <c r="J15" s="51">
        <v>1.04317E-2</v>
      </c>
      <c r="K15" s="51">
        <v>1.144861E-2</v>
      </c>
      <c r="L15" s="51">
        <v>1.228365E-2</v>
      </c>
      <c r="M15" s="51">
        <v>1.2960269999999999E-2</v>
      </c>
      <c r="N15" s="51">
        <v>1.4124309999999999E-2</v>
      </c>
      <c r="O15" s="51">
        <v>1.477145E-2</v>
      </c>
      <c r="P15" s="51">
        <v>1.5117500000000001E-2</v>
      </c>
      <c r="Q15" s="51">
        <v>1.5293630000000001E-2</v>
      </c>
      <c r="R15" s="51">
        <v>1.537122E-2</v>
      </c>
      <c r="S15" s="51">
        <v>1.538899E-2</v>
      </c>
      <c r="T15" s="51">
        <v>1.537298E-2</v>
      </c>
      <c r="U15" s="51">
        <v>1.533382E-2</v>
      </c>
      <c r="V15" s="51">
        <v>1.52789E-2</v>
      </c>
      <c r="W15" s="51">
        <v>1.521219E-2</v>
      </c>
      <c r="X15" s="51">
        <v>1.513548E-2</v>
      </c>
      <c r="Y15" s="51">
        <v>1.5047700000000001E-2</v>
      </c>
      <c r="Z15" s="59">
        <v>1.4946620000000001E-2</v>
      </c>
      <c r="AA15" s="59">
        <v>1.482843E-2</v>
      </c>
      <c r="AB15" s="24">
        <v>1.469644E-2</v>
      </c>
      <c r="AC15" s="59">
        <v>1.4497400000000001E-2</v>
      </c>
    </row>
    <row r="16" spans="1:29" ht="18" x14ac:dyDescent="0.4">
      <c r="A16" s="3" t="s">
        <v>22</v>
      </c>
      <c r="B16" s="2" t="s">
        <v>64</v>
      </c>
      <c r="C16">
        <f>1456.938/2119.054</f>
        <v>0.68754170493059641</v>
      </c>
      <c r="D16">
        <f>1724.865/2542.863</f>
        <v>0.67831613421564596</v>
      </c>
      <c r="E16">
        <f>1981.294/2966.672</f>
        <v>0.66785070948187064</v>
      </c>
      <c r="F16">
        <f>2227.083/3390.481</f>
        <v>0.65686343619091214</v>
      </c>
      <c r="G16">
        <f>2462.811/3814.291</f>
        <v>0.64567989175445717</v>
      </c>
      <c r="H16">
        <f>2689.659/4238.1</f>
        <v>0.63463792737311531</v>
      </c>
      <c r="I16">
        <f>3119.686/5085.721</f>
        <v>0.6134205946413499</v>
      </c>
      <c r="J16">
        <f>3524.274/5933.344</f>
        <v>0.59397769621987195</v>
      </c>
      <c r="K16">
        <f>3908.492/6780.969</f>
        <v>0.57639136825430115</v>
      </c>
      <c r="L16">
        <f>4276.855/7628.596</f>
        <v>0.56063461743156928</v>
      </c>
      <c r="M16">
        <f>4633.077/8476.222</f>
        <v>0.54659693906082218</v>
      </c>
      <c r="N16">
        <f>5486.089/10595.3</f>
        <v>0.51778515001934822</v>
      </c>
      <c r="O16">
        <f>6306.197/12714.37</f>
        <v>0.49598973445007499</v>
      </c>
      <c r="P16">
        <f>7110.073/14833.46</f>
        <v>0.47932667091831582</v>
      </c>
      <c r="Q16">
        <f>7904.945/16952.54</f>
        <v>0.46629856056968449</v>
      </c>
      <c r="R16">
        <f>8694.67/19071.61</f>
        <v>0.4558959626376588</v>
      </c>
      <c r="S16">
        <f>9482.253/21190.7</f>
        <v>0.44747238175237253</v>
      </c>
      <c r="T16">
        <f>10267.45/23309.78</f>
        <v>0.44047820271147997</v>
      </c>
      <c r="U16">
        <f>11052.35/25428.87</f>
        <v>0.43463787419574684</v>
      </c>
      <c r="V16">
        <f>11835.88/27547.95</f>
        <v>0.42964648912169506</v>
      </c>
      <c r="W16">
        <f>12616.05/29667.03</f>
        <v>0.42525490418151057</v>
      </c>
      <c r="X16">
        <f>13395.67/31786.12</f>
        <v>0.42143142981905313</v>
      </c>
      <c r="Y16">
        <f>14170.73/33905.2</f>
        <v>0.41795152366008759</v>
      </c>
      <c r="Z16">
        <f>14940.76/36024.29</f>
        <v>0.41474127595575094</v>
      </c>
      <c r="AA16">
        <f>15705.28/38143.37</f>
        <v>0.41174337768267461</v>
      </c>
      <c r="AB16" s="24">
        <f>16402.95/40109.87</f>
        <v>0.40895046530941137</v>
      </c>
      <c r="AC16">
        <f>17186.07/42381.54</f>
        <v>0.4055083887938003</v>
      </c>
    </row>
    <row r="17" spans="1:29" ht="18" x14ac:dyDescent="0.4">
      <c r="A17" s="3" t="s">
        <v>23</v>
      </c>
      <c r="B17" s="2" t="s">
        <v>1</v>
      </c>
      <c r="C17">
        <v>65</v>
      </c>
      <c r="D17" s="51">
        <v>65</v>
      </c>
      <c r="E17" s="51">
        <v>65</v>
      </c>
      <c r="F17" s="51">
        <v>65</v>
      </c>
      <c r="G17" s="51">
        <v>65</v>
      </c>
      <c r="H17" s="51">
        <v>65</v>
      </c>
      <c r="I17" s="51">
        <v>65</v>
      </c>
      <c r="J17" s="51">
        <v>65</v>
      </c>
      <c r="K17" s="51">
        <v>65</v>
      </c>
      <c r="L17" s="51">
        <v>65</v>
      </c>
      <c r="M17" s="51">
        <v>65</v>
      </c>
      <c r="N17" s="51">
        <v>65</v>
      </c>
      <c r="O17" s="51">
        <v>65</v>
      </c>
      <c r="P17" s="51">
        <v>65</v>
      </c>
      <c r="Q17" s="51">
        <v>65</v>
      </c>
      <c r="R17" s="51">
        <v>65</v>
      </c>
      <c r="S17" s="51">
        <v>65</v>
      </c>
      <c r="T17" s="51">
        <v>65</v>
      </c>
      <c r="U17" s="51">
        <v>65</v>
      </c>
      <c r="V17" s="51">
        <v>65</v>
      </c>
      <c r="W17" s="51">
        <v>65</v>
      </c>
      <c r="X17" s="51">
        <v>65</v>
      </c>
      <c r="Y17" s="51">
        <v>65</v>
      </c>
      <c r="Z17" s="59">
        <v>65</v>
      </c>
      <c r="AA17" s="59">
        <v>65</v>
      </c>
      <c r="AB17" s="24">
        <v>65</v>
      </c>
      <c r="AC17" s="59">
        <v>65</v>
      </c>
    </row>
    <row r="18" spans="1:29" ht="18" x14ac:dyDescent="0.4">
      <c r="A18" s="3" t="s">
        <v>24</v>
      </c>
      <c r="B18" s="2" t="s">
        <v>64</v>
      </c>
      <c r="C18">
        <v>0.21</v>
      </c>
      <c r="D18" s="51">
        <v>0.21</v>
      </c>
      <c r="E18" s="51">
        <v>0.21</v>
      </c>
      <c r="F18" s="51">
        <v>0.21</v>
      </c>
      <c r="G18" s="51">
        <v>0.21</v>
      </c>
      <c r="H18" s="51">
        <v>0.21</v>
      </c>
      <c r="I18" s="51">
        <v>0.21</v>
      </c>
      <c r="J18" s="51">
        <v>0.21</v>
      </c>
      <c r="K18" s="51">
        <v>0.21</v>
      </c>
      <c r="L18" s="51">
        <v>0.21</v>
      </c>
      <c r="M18" s="51">
        <v>0.21</v>
      </c>
      <c r="N18" s="51">
        <v>0.21</v>
      </c>
      <c r="O18" s="51">
        <v>0.21</v>
      </c>
      <c r="P18" s="51">
        <v>0.21</v>
      </c>
      <c r="Q18" s="51">
        <v>0.21</v>
      </c>
      <c r="R18" s="51">
        <v>0.21</v>
      </c>
      <c r="S18" s="51">
        <v>0.21</v>
      </c>
      <c r="T18" s="51">
        <v>0.21</v>
      </c>
      <c r="U18" s="51">
        <v>0.21</v>
      </c>
      <c r="V18" s="51">
        <v>0.21</v>
      </c>
      <c r="W18" s="51">
        <v>0.21</v>
      </c>
      <c r="X18" s="51">
        <v>0.21</v>
      </c>
      <c r="Y18" s="51">
        <v>0.21</v>
      </c>
      <c r="Z18" s="59">
        <v>0.21</v>
      </c>
      <c r="AA18" s="59">
        <v>0.21</v>
      </c>
      <c r="AB18" s="24">
        <v>0.21</v>
      </c>
      <c r="AC18" s="59">
        <v>0.21</v>
      </c>
    </row>
    <row r="19" spans="1:29" x14ac:dyDescent="0.3">
      <c r="A19" s="3" t="s">
        <v>25</v>
      </c>
      <c r="B19" s="2" t="s">
        <v>10</v>
      </c>
      <c r="C19" s="60">
        <v>442.69299999999998</v>
      </c>
      <c r="D19" s="60">
        <v>534.04600000000005</v>
      </c>
      <c r="E19" s="60">
        <v>625.798</v>
      </c>
      <c r="F19" s="60">
        <v>717.94299999999998</v>
      </c>
      <c r="G19" s="60">
        <v>810.43799999999999</v>
      </c>
      <c r="H19" s="60">
        <v>903.25800000000004</v>
      </c>
      <c r="I19" s="60">
        <v>1089.71</v>
      </c>
      <c r="J19" s="60">
        <v>1277.04</v>
      </c>
      <c r="K19" s="60">
        <v>1465.09</v>
      </c>
      <c r="L19" s="60">
        <v>1653.56</v>
      </c>
      <c r="M19" s="60">
        <v>1842.19</v>
      </c>
      <c r="N19" s="60">
        <v>2311.3200000000002</v>
      </c>
      <c r="O19" s="60">
        <v>2770.69</v>
      </c>
      <c r="P19" s="60">
        <v>3226.04</v>
      </c>
      <c r="Q19" s="60">
        <v>3680.56</v>
      </c>
      <c r="R19" s="60">
        <v>4134.62</v>
      </c>
      <c r="S19" s="60">
        <v>4588.24</v>
      </c>
      <c r="T19" s="60">
        <v>5042.07</v>
      </c>
      <c r="U19" s="60">
        <v>5495.77</v>
      </c>
      <c r="V19" s="60">
        <v>5949.26</v>
      </c>
      <c r="W19" s="60">
        <v>6402.58</v>
      </c>
      <c r="X19" s="60">
        <v>6856.07</v>
      </c>
      <c r="Y19" s="60">
        <v>7309.05</v>
      </c>
      <c r="Z19" s="60">
        <v>7761.87</v>
      </c>
      <c r="AA19" s="60">
        <v>8214.5499999999993</v>
      </c>
      <c r="AB19" s="24">
        <v>8633.67</v>
      </c>
      <c r="AC19" s="60">
        <v>9115.99</v>
      </c>
    </row>
    <row r="20" spans="1:29" ht="18" x14ac:dyDescent="0.4">
      <c r="A20" s="3" t="s">
        <v>26</v>
      </c>
      <c r="B20" s="2" t="s">
        <v>1</v>
      </c>
      <c r="C20" s="51">
        <v>105.5797</v>
      </c>
      <c r="D20" s="51">
        <v>105.6217</v>
      </c>
      <c r="E20" s="51">
        <v>105.6567</v>
      </c>
      <c r="F20" s="51">
        <v>105.6872</v>
      </c>
      <c r="G20" s="51">
        <v>105.7154</v>
      </c>
      <c r="H20" s="51">
        <v>105.73990000000001</v>
      </c>
      <c r="I20" s="51">
        <v>105.7833</v>
      </c>
      <c r="J20" s="51">
        <v>105.8184</v>
      </c>
      <c r="K20" s="51">
        <v>105.85039999999999</v>
      </c>
      <c r="L20" s="51">
        <v>105.8779</v>
      </c>
      <c r="M20" s="51">
        <v>105.9003</v>
      </c>
      <c r="N20" s="51">
        <v>105.94670000000001</v>
      </c>
      <c r="O20" s="51">
        <v>105.98090000000001</v>
      </c>
      <c r="P20" s="51">
        <v>106.0069</v>
      </c>
      <c r="Q20" s="51">
        <v>106.02889999999999</v>
      </c>
      <c r="R20" s="51">
        <v>106.045</v>
      </c>
      <c r="S20" s="51">
        <v>106.0573</v>
      </c>
      <c r="T20" s="51">
        <v>106.0686</v>
      </c>
      <c r="U20" s="51">
        <v>106.0782</v>
      </c>
      <c r="V20" s="51">
        <v>106.0859</v>
      </c>
      <c r="W20" s="51">
        <v>106.09229999999999</v>
      </c>
      <c r="X20" s="51">
        <v>106.0997</v>
      </c>
      <c r="Y20" s="51">
        <v>106.1041</v>
      </c>
      <c r="Z20" s="59">
        <v>106.1092</v>
      </c>
      <c r="AA20" s="59">
        <v>106.1133</v>
      </c>
      <c r="AB20" s="24">
        <v>106.1177</v>
      </c>
      <c r="AC20" s="59">
        <v>106.1206</v>
      </c>
    </row>
    <row r="21" spans="1:29" x14ac:dyDescent="0.3">
      <c r="A21" s="3" t="s">
        <v>65</v>
      </c>
      <c r="B21" s="2" t="s">
        <v>5</v>
      </c>
      <c r="C21" s="51">
        <v>5.1010590000000005E-4</v>
      </c>
      <c r="D21" s="51">
        <v>5.9629859999999998E-4</v>
      </c>
      <c r="E21" s="51">
        <v>6.7637350000000003E-4</v>
      </c>
      <c r="F21" s="51">
        <v>7.5076790000000004E-4</v>
      </c>
      <c r="G21" s="51">
        <v>8.1998840000000004E-4</v>
      </c>
      <c r="H21" s="51">
        <v>8.8462019999999998E-4</v>
      </c>
      <c r="I21" s="51">
        <v>1.001788E-3</v>
      </c>
      <c r="J21" s="51">
        <v>1.1062209999999999E-3</v>
      </c>
      <c r="K21" s="51">
        <v>1.2009690000000001E-3</v>
      </c>
      <c r="L21" s="51">
        <v>1.2886589999999999E-3</v>
      </c>
      <c r="M21" s="51">
        <v>1.3710809999999999E-3</v>
      </c>
      <c r="N21" s="51">
        <v>1.5716219999999999E-3</v>
      </c>
      <c r="O21" s="51">
        <v>1.7875339999999999E-3</v>
      </c>
      <c r="P21" s="51">
        <v>2.0045760000000001E-3</v>
      </c>
      <c r="Q21" s="51">
        <v>2.2173549999999998E-3</v>
      </c>
      <c r="R21" s="51">
        <v>2.4263700000000002E-3</v>
      </c>
      <c r="S21" s="51">
        <v>2.6334190000000001E-3</v>
      </c>
      <c r="T21" s="51">
        <v>2.8379799999999999E-3</v>
      </c>
      <c r="U21" s="51">
        <v>3.0412170000000001E-3</v>
      </c>
      <c r="V21" s="51">
        <v>3.2434130000000001E-3</v>
      </c>
      <c r="W21" s="51">
        <v>3.4437169999999998E-3</v>
      </c>
      <c r="X21" s="51">
        <v>3.642897E-3</v>
      </c>
      <c r="Y21" s="51">
        <v>3.840141E-3</v>
      </c>
      <c r="Z21" s="59">
        <v>4.0347389999999999E-3</v>
      </c>
      <c r="AA21" s="59">
        <v>4.2268799999999997E-3</v>
      </c>
      <c r="AB21" s="24">
        <v>4.4009030000000003E-3</v>
      </c>
      <c r="AC21" s="59">
        <v>4.5922000000000003E-3</v>
      </c>
    </row>
    <row r="22" spans="1:29" x14ac:dyDescent="0.3">
      <c r="A22" s="3" t="s">
        <v>66</v>
      </c>
      <c r="B22" s="2" t="s">
        <v>5</v>
      </c>
      <c r="C22" s="51">
        <f>C21+C15</f>
        <v>3.9246218999999995E-3</v>
      </c>
      <c r="D22" s="51">
        <f t="shared" ref="D22:AC22" si="2">D21+D15</f>
        <v>4.9201445999999998E-3</v>
      </c>
      <c r="E22" s="51">
        <f t="shared" si="2"/>
        <v>5.9104355000000001E-3</v>
      </c>
      <c r="F22" s="51">
        <f t="shared" si="2"/>
        <v>6.8717889000000001E-3</v>
      </c>
      <c r="G22" s="51">
        <f t="shared" si="2"/>
        <v>7.7889274000000003E-3</v>
      </c>
      <c r="H22" s="51">
        <f t="shared" si="2"/>
        <v>8.6539641999999993E-3</v>
      </c>
      <c r="I22" s="51">
        <f t="shared" si="2"/>
        <v>1.0210798E-2</v>
      </c>
      <c r="J22" s="51">
        <f t="shared" si="2"/>
        <v>1.1537921E-2</v>
      </c>
      <c r="K22" s="51">
        <f t="shared" si="2"/>
        <v>1.2649578999999999E-2</v>
      </c>
      <c r="L22" s="51">
        <f t="shared" si="2"/>
        <v>1.3572308999999999E-2</v>
      </c>
      <c r="M22" s="51">
        <f t="shared" si="2"/>
        <v>1.4331350999999999E-2</v>
      </c>
      <c r="N22" s="51">
        <f t="shared" si="2"/>
        <v>1.5695931999999999E-2</v>
      </c>
      <c r="O22" s="51">
        <f t="shared" si="2"/>
        <v>1.6558983999999999E-2</v>
      </c>
      <c r="P22" s="51">
        <f t="shared" si="2"/>
        <v>1.7122076E-2</v>
      </c>
      <c r="Q22" s="51">
        <f t="shared" si="2"/>
        <v>1.7510985E-2</v>
      </c>
      <c r="R22" s="51">
        <f t="shared" si="2"/>
        <v>1.7797589999999999E-2</v>
      </c>
      <c r="S22" s="51">
        <f t="shared" si="2"/>
        <v>1.8022409E-2</v>
      </c>
      <c r="T22" s="51">
        <f t="shared" si="2"/>
        <v>1.8210959999999998E-2</v>
      </c>
      <c r="U22" s="51">
        <f t="shared" si="2"/>
        <v>1.8375037E-2</v>
      </c>
      <c r="V22" s="51">
        <f t="shared" si="2"/>
        <v>1.8522312999999999E-2</v>
      </c>
      <c r="W22" s="51">
        <f t="shared" si="2"/>
        <v>1.8655906999999999E-2</v>
      </c>
      <c r="X22" s="51">
        <f t="shared" si="2"/>
        <v>1.8778376999999999E-2</v>
      </c>
      <c r="Y22" s="51">
        <f t="shared" si="2"/>
        <v>1.8887841000000002E-2</v>
      </c>
      <c r="Z22" s="59">
        <f t="shared" si="2"/>
        <v>1.8981359E-2</v>
      </c>
      <c r="AA22" s="59">
        <f t="shared" si="2"/>
        <v>1.9055309999999999E-2</v>
      </c>
      <c r="AB22" s="24">
        <f t="shared" si="2"/>
        <v>1.9097342999999999E-2</v>
      </c>
      <c r="AC22" s="59">
        <f t="shared" si="2"/>
        <v>1.9089600000000002E-2</v>
      </c>
    </row>
    <row r="23" spans="1:29" x14ac:dyDescent="0.3">
      <c r="A23" s="3" t="s">
        <v>67</v>
      </c>
      <c r="B23" s="2" t="s">
        <v>52</v>
      </c>
      <c r="C23" s="51">
        <f>C22/C11*1000</f>
        <v>6.1207605945367297E-2</v>
      </c>
      <c r="D23" s="51">
        <f t="shared" ref="D23:AC23" si="3">D22/D11*1000</f>
        <v>6.4814389952484022E-2</v>
      </c>
      <c r="E23" s="51">
        <f t="shared" si="3"/>
        <v>6.7782757704015068E-2</v>
      </c>
      <c r="F23" s="51">
        <f t="shared" si="3"/>
        <v>7.0110336368548465E-2</v>
      </c>
      <c r="G23" s="51">
        <f t="shared" si="3"/>
        <v>7.186133005130628E-2</v>
      </c>
      <c r="H23" s="51">
        <f t="shared" si="3"/>
        <v>7.3108264714852086E-2</v>
      </c>
      <c r="I23" s="51">
        <f t="shared" si="3"/>
        <v>7.436992980202102E-2</v>
      </c>
      <c r="J23" s="51">
        <f t="shared" si="3"/>
        <v>7.4388623581832236E-2</v>
      </c>
      <c r="K23" s="51">
        <f t="shared" si="3"/>
        <v>7.3538634065973038E-2</v>
      </c>
      <c r="L23" s="51">
        <f t="shared" si="3"/>
        <v>7.2107064758872907E-2</v>
      </c>
      <c r="M23" s="51">
        <f t="shared" si="3"/>
        <v>7.0285588594896448E-2</v>
      </c>
      <c r="N23" s="51">
        <f t="shared" si="3"/>
        <v>6.5008904800640144E-2</v>
      </c>
      <c r="O23" s="51">
        <f t="shared" si="3"/>
        <v>5.9664338677870979E-2</v>
      </c>
      <c r="P23" s="51">
        <f t="shared" si="3"/>
        <v>5.4718100131569566E-2</v>
      </c>
      <c r="Q23" s="51">
        <f t="shared" si="3"/>
        <v>5.0333877939594693E-2</v>
      </c>
      <c r="R23" s="51">
        <f t="shared" si="3"/>
        <v>4.6511115571207705E-2</v>
      </c>
      <c r="S23" s="51">
        <f t="shared" si="3"/>
        <v>4.3186697112173836E-2</v>
      </c>
      <c r="T23" s="51">
        <f t="shared" si="3"/>
        <v>4.0301298846151204E-2</v>
      </c>
      <c r="U23" s="51">
        <f t="shared" si="3"/>
        <v>3.7776545859400809E-2</v>
      </c>
      <c r="V23" s="51">
        <f t="shared" si="3"/>
        <v>3.5558494289658023E-2</v>
      </c>
      <c r="W23" s="51">
        <f t="shared" si="3"/>
        <v>3.360017715104522E-2</v>
      </c>
      <c r="X23" s="51">
        <f t="shared" si="3"/>
        <v>3.1852402748906564E-2</v>
      </c>
      <c r="Y23" s="51">
        <f t="shared" si="3"/>
        <v>3.028577874455347E-2</v>
      </c>
      <c r="Z23" s="59">
        <f t="shared" si="3"/>
        <v>2.886710796620387E-2</v>
      </c>
      <c r="AA23" s="59">
        <f t="shared" si="3"/>
        <v>2.7568868967029873E-2</v>
      </c>
      <c r="AB23" s="24">
        <f t="shared" si="3"/>
        <v>2.6454508468490585E-2</v>
      </c>
      <c r="AC23" s="59">
        <f t="shared" si="3"/>
        <v>2.5238811892079282E-2</v>
      </c>
    </row>
    <row r="24" spans="1:29" x14ac:dyDescent="0.3">
      <c r="A24" s="3" t="s">
        <v>34</v>
      </c>
      <c r="B24" s="2" t="s">
        <v>28</v>
      </c>
      <c r="C24" s="51">
        <f>C19/C11</f>
        <v>6.9041501039303901</v>
      </c>
      <c r="D24" s="51">
        <f t="shared" ref="D24:AC24" si="4">D19/D11</f>
        <v>7.0351317919730008</v>
      </c>
      <c r="E24" s="51">
        <f t="shared" si="4"/>
        <v>7.1768508776818942</v>
      </c>
      <c r="F24" s="51">
        <f t="shared" si="4"/>
        <v>7.3249085436027865</v>
      </c>
      <c r="G24" s="51">
        <f t="shared" si="4"/>
        <v>7.4771723516283579</v>
      </c>
      <c r="H24" s="51">
        <f t="shared" si="4"/>
        <v>7.6306792405967974</v>
      </c>
      <c r="I24" s="51">
        <f t="shared" si="4"/>
        <v>7.9368582362084057</v>
      </c>
      <c r="J24" s="51">
        <f t="shared" si="4"/>
        <v>8.2334805255594183</v>
      </c>
      <c r="K24" s="51">
        <f t="shared" si="4"/>
        <v>8.5173362199418996</v>
      </c>
      <c r="L24" s="51">
        <f t="shared" si="4"/>
        <v>8.7850459345334606</v>
      </c>
      <c r="M24" s="51">
        <f t="shared" si="4"/>
        <v>9.034696620969811</v>
      </c>
      <c r="N24" s="51">
        <f t="shared" si="4"/>
        <v>9.5729506119047656</v>
      </c>
      <c r="O24" s="51">
        <f t="shared" si="4"/>
        <v>9.9831841453189618</v>
      </c>
      <c r="P24" s="51">
        <f t="shared" si="4"/>
        <v>10.309659865336929</v>
      </c>
      <c r="Q24" s="51">
        <f t="shared" si="4"/>
        <v>10.579465277901537</v>
      </c>
      <c r="R24" s="51">
        <f t="shared" si="4"/>
        <v>10.805158937981311</v>
      </c>
      <c r="S24" s="51">
        <f t="shared" si="4"/>
        <v>10.994697277037741</v>
      </c>
      <c r="T24" s="51">
        <f t="shared" si="4"/>
        <v>11.158223941693004</v>
      </c>
      <c r="U24" s="51">
        <f t="shared" si="4"/>
        <v>11.298546361442385</v>
      </c>
      <c r="V24" s="51">
        <f t="shared" si="4"/>
        <v>11.421183074580963</v>
      </c>
      <c r="W24" s="51">
        <f t="shared" si="4"/>
        <v>11.531351556573428</v>
      </c>
      <c r="X24" s="51">
        <f t="shared" si="4"/>
        <v>11.629455672058127</v>
      </c>
      <c r="Y24" s="51">
        <f t="shared" si="4"/>
        <v>11.719723346510515</v>
      </c>
      <c r="Z24" s="59">
        <f t="shared" si="4"/>
        <v>11.804357069988447</v>
      </c>
      <c r="AA24" s="59">
        <f t="shared" si="4"/>
        <v>11.884658532089757</v>
      </c>
      <c r="AB24" s="24">
        <f t="shared" si="4"/>
        <v>11.959752523120788</v>
      </c>
      <c r="AC24" s="59">
        <f t="shared" si="4"/>
        <v>12.052466097774483</v>
      </c>
    </row>
    <row r="25" spans="1:29" x14ac:dyDescent="0.3">
      <c r="A25" s="150" t="s">
        <v>27</v>
      </c>
      <c r="B25" s="12" t="s">
        <v>36</v>
      </c>
    </row>
    <row r="26" spans="1:29" x14ac:dyDescent="0.3">
      <c r="A26" s="150"/>
      <c r="B26" s="2" t="s">
        <v>11</v>
      </c>
      <c r="C26" s="51">
        <v>0.86788399999999999</v>
      </c>
      <c r="D26" s="51">
        <v>0.86821119999999996</v>
      </c>
      <c r="E26" s="51">
        <v>0.8685387</v>
      </c>
      <c r="F26" s="51">
        <v>0.86885369999999995</v>
      </c>
      <c r="G26" s="51">
        <v>0.86913249999999997</v>
      </c>
      <c r="H26" s="51">
        <v>0.86938530000000003</v>
      </c>
      <c r="I26" s="51">
        <v>0.86980060000000003</v>
      </c>
      <c r="J26" s="51">
        <v>0.87012060000000002</v>
      </c>
      <c r="K26" s="51">
        <v>0.87035220000000002</v>
      </c>
      <c r="L26" s="51">
        <v>0.87050439999999996</v>
      </c>
      <c r="M26" s="51">
        <v>0.8705965</v>
      </c>
      <c r="N26" s="51">
        <v>0.87030759999999996</v>
      </c>
      <c r="O26" s="51">
        <v>0.86907199999999996</v>
      </c>
      <c r="P26" s="51">
        <v>0.86779799999999996</v>
      </c>
      <c r="Q26" s="51">
        <v>0.8667243</v>
      </c>
      <c r="R26" s="51">
        <v>0.86583679999999996</v>
      </c>
      <c r="S26" s="51">
        <v>0.86509340000000001</v>
      </c>
      <c r="T26" s="51">
        <v>0.86446909999999999</v>
      </c>
      <c r="U26" s="51">
        <v>0.86394219999999999</v>
      </c>
      <c r="V26" s="51">
        <v>0.86348279999999999</v>
      </c>
      <c r="W26" s="51">
        <v>0.86307140000000004</v>
      </c>
      <c r="X26" s="51">
        <v>0.86271410000000004</v>
      </c>
      <c r="Y26" s="51">
        <v>0.86237909999999995</v>
      </c>
      <c r="Z26" s="59">
        <v>0.86206899999999997</v>
      </c>
      <c r="AA26" s="59">
        <v>0.86177360000000003</v>
      </c>
      <c r="AB26" s="24">
        <v>0.86148360000000002</v>
      </c>
      <c r="AC26" s="59">
        <v>0.86111159999999998</v>
      </c>
    </row>
    <row r="27" spans="1:29" x14ac:dyDescent="0.3">
      <c r="A27" s="150"/>
      <c r="B27" s="2" t="s">
        <v>12</v>
      </c>
      <c r="C27" s="51">
        <v>1.071108E-2</v>
      </c>
      <c r="D27" s="51">
        <v>1.035614E-2</v>
      </c>
      <c r="E27" s="51">
        <v>9.9978029999999996E-3</v>
      </c>
      <c r="F27" s="51">
        <v>9.6569389999999998E-3</v>
      </c>
      <c r="G27" s="51">
        <v>9.3463169999999998E-3</v>
      </c>
      <c r="H27" s="51">
        <v>9.0655319999999994E-3</v>
      </c>
      <c r="I27" s="51">
        <v>8.5955500000000004E-3</v>
      </c>
      <c r="J27" s="51">
        <v>8.2241209999999992E-3</v>
      </c>
      <c r="K27" s="51">
        <v>7.9301370000000003E-3</v>
      </c>
      <c r="L27" s="51">
        <v>7.6949219999999999E-3</v>
      </c>
      <c r="M27" s="51">
        <v>7.5038700000000002E-3</v>
      </c>
      <c r="N27" s="51">
        <v>7.163015E-3</v>
      </c>
      <c r="O27" s="51">
        <v>6.9498590000000001E-3</v>
      </c>
      <c r="P27" s="51">
        <v>6.8068340000000003E-3</v>
      </c>
      <c r="Q27" s="51">
        <v>6.7070070000000001E-3</v>
      </c>
      <c r="R27" s="51">
        <v>6.6351149999999996E-3</v>
      </c>
      <c r="S27" s="51">
        <v>6.5810199999999999E-3</v>
      </c>
      <c r="T27" s="51">
        <v>6.5400880000000003E-3</v>
      </c>
      <c r="U27" s="51">
        <v>6.5073809999999996E-3</v>
      </c>
      <c r="V27" s="51">
        <v>6.4815460000000004E-3</v>
      </c>
      <c r="W27" s="51">
        <v>6.4632450000000003E-3</v>
      </c>
      <c r="X27" s="51">
        <v>6.4480639999999999E-3</v>
      </c>
      <c r="Y27" s="51">
        <v>6.4384359999999996E-3</v>
      </c>
      <c r="Z27" s="59">
        <v>6.4333510000000003E-3</v>
      </c>
      <c r="AA27" s="59">
        <v>6.433729E-3</v>
      </c>
      <c r="AB27" s="24">
        <v>6.4422630000000002E-3</v>
      </c>
      <c r="AC27" s="59">
        <v>6.4675189999999997E-3</v>
      </c>
    </row>
    <row r="28" spans="1:29" x14ac:dyDescent="0.3">
      <c r="A28" s="150"/>
      <c r="B28" s="2" t="s">
        <v>13</v>
      </c>
      <c r="C28" s="51">
        <v>6.9477120000000002E-4</v>
      </c>
      <c r="D28" s="51">
        <v>6.947225E-4</v>
      </c>
      <c r="E28" s="51">
        <v>6.952366E-4</v>
      </c>
      <c r="F28" s="51">
        <v>6.9653990000000002E-4</v>
      </c>
      <c r="G28" s="51">
        <v>6.9888440000000001E-4</v>
      </c>
      <c r="H28" s="51">
        <v>7.0207359999999999E-4</v>
      </c>
      <c r="I28" s="51">
        <v>7.1099119999999997E-4</v>
      </c>
      <c r="J28" s="51">
        <v>7.2216809999999995E-4</v>
      </c>
      <c r="K28" s="51">
        <v>7.3493080000000001E-4</v>
      </c>
      <c r="L28" s="51">
        <v>7.485886E-4</v>
      </c>
      <c r="M28" s="51">
        <v>7.6262360000000002E-4</v>
      </c>
      <c r="N28" s="51">
        <v>7.973422E-4</v>
      </c>
      <c r="O28" s="51">
        <v>8.2927469999999998E-4</v>
      </c>
      <c r="P28" s="51">
        <v>8.5778700000000005E-4</v>
      </c>
      <c r="Q28" s="51">
        <v>8.8317820000000005E-4</v>
      </c>
      <c r="R28" s="51">
        <v>9.0575219999999997E-4</v>
      </c>
      <c r="S28" s="51">
        <v>9.2564310000000001E-4</v>
      </c>
      <c r="T28" s="51">
        <v>9.4346440000000001E-4</v>
      </c>
      <c r="U28" s="51">
        <v>9.5925019999999999E-4</v>
      </c>
      <c r="V28" s="51">
        <v>9.7347329999999998E-4</v>
      </c>
      <c r="W28" s="51">
        <v>9.8676969999999999E-4</v>
      </c>
      <c r="X28" s="51">
        <v>9.988073000000001E-4</v>
      </c>
      <c r="Y28" s="51">
        <v>1.010361E-3</v>
      </c>
      <c r="Z28" s="59">
        <v>1.0215549999999999E-3</v>
      </c>
      <c r="AA28" s="59">
        <v>1.032575E-3</v>
      </c>
      <c r="AB28" s="24">
        <v>1.043549E-3</v>
      </c>
      <c r="AC28" s="59">
        <v>1.0582790000000001E-3</v>
      </c>
    </row>
    <row r="29" spans="1:29" x14ac:dyDescent="0.3">
      <c r="A29" s="150"/>
      <c r="B29" s="2" t="s">
        <v>14</v>
      </c>
      <c r="C29" s="51">
        <v>1.214607E-4</v>
      </c>
      <c r="D29" s="51">
        <v>1.214698E-4</v>
      </c>
      <c r="E29" s="51">
        <v>1.215645E-4</v>
      </c>
      <c r="F29" s="51">
        <v>1.217823E-4</v>
      </c>
      <c r="G29" s="51">
        <v>1.221676E-4</v>
      </c>
      <c r="H29" s="51">
        <v>1.2268789999999999E-4</v>
      </c>
      <c r="I29" s="51">
        <v>1.241402E-4</v>
      </c>
      <c r="J29" s="51">
        <v>1.2595689999999999E-4</v>
      </c>
      <c r="K29" s="51">
        <v>1.280311E-4</v>
      </c>
      <c r="L29" s="51">
        <v>1.3024959999999999E-4</v>
      </c>
      <c r="M29" s="51">
        <v>1.3252810000000001E-4</v>
      </c>
      <c r="N29" s="51">
        <v>1.3815759999999999E-4</v>
      </c>
      <c r="O29" s="51">
        <v>1.4332470000000001E-4</v>
      </c>
      <c r="P29" s="51">
        <v>1.479315E-4</v>
      </c>
      <c r="Q29" s="51">
        <v>1.5203309999999999E-4</v>
      </c>
      <c r="R29" s="51">
        <v>1.5568E-4</v>
      </c>
      <c r="S29" s="51">
        <v>1.5889220000000001E-4</v>
      </c>
      <c r="T29" s="51">
        <v>1.617717E-4</v>
      </c>
      <c r="U29" s="51">
        <v>1.6432029999999999E-4</v>
      </c>
      <c r="V29" s="51">
        <v>1.666169E-4</v>
      </c>
      <c r="W29" s="51">
        <v>1.6876860000000001E-4</v>
      </c>
      <c r="X29" s="51">
        <v>1.7071529999999999E-4</v>
      </c>
      <c r="Y29" s="51">
        <v>1.7258829999999999E-4</v>
      </c>
      <c r="Z29" s="59">
        <v>1.7440669999999999E-4</v>
      </c>
      <c r="AA29" s="59">
        <v>1.7620170000000001E-4</v>
      </c>
      <c r="AB29" s="24">
        <v>1.7799830000000001E-4</v>
      </c>
      <c r="AC29" s="59">
        <v>1.80426E-4</v>
      </c>
    </row>
    <row r="30" spans="1:29" x14ac:dyDescent="0.3">
      <c r="A30" s="150"/>
      <c r="B30" s="2" t="s">
        <v>15</v>
      </c>
      <c r="C30" s="51">
        <v>0.1205788</v>
      </c>
      <c r="D30" s="51">
        <v>0.12060659999999999</v>
      </c>
      <c r="E30" s="67">
        <v>0.1206368</v>
      </c>
      <c r="F30" s="51">
        <v>0.1206614</v>
      </c>
      <c r="G30" s="51">
        <v>0.12069050000000001</v>
      </c>
      <c r="H30" s="51">
        <v>0.1207148</v>
      </c>
      <c r="I30" s="51">
        <v>0.12075900000000001</v>
      </c>
      <c r="J30" s="51">
        <v>0.1207975</v>
      </c>
      <c r="K30" s="51">
        <v>0.1208451</v>
      </c>
      <c r="L30" s="51">
        <v>0.1209124</v>
      </c>
      <c r="M30" s="51">
        <v>0.12099500000000001</v>
      </c>
      <c r="N30" s="51">
        <v>0.12158430000000001</v>
      </c>
      <c r="O30" s="51">
        <v>0.1229958</v>
      </c>
      <c r="P30" s="51">
        <v>0.12437960000000001</v>
      </c>
      <c r="Q30" s="51">
        <v>0.12552350000000001</v>
      </c>
      <c r="R30" s="51">
        <v>0.1264565</v>
      </c>
      <c r="S30" s="51">
        <v>0.1272307</v>
      </c>
      <c r="T30" s="51">
        <v>0.12787509999999999</v>
      </c>
      <c r="U30" s="51">
        <v>0.12841639999999999</v>
      </c>
      <c r="V30" s="51">
        <v>0.128885</v>
      </c>
      <c r="W30" s="51">
        <v>0.1292991</v>
      </c>
      <c r="X30" s="51">
        <v>0.12965760000000001</v>
      </c>
      <c r="Y30" s="51">
        <v>0.12998879999999999</v>
      </c>
      <c r="Z30" s="59">
        <v>0.13029099999999999</v>
      </c>
      <c r="AA30" s="59">
        <v>0.1305732</v>
      </c>
      <c r="AB30" s="24">
        <v>0.13084180000000001</v>
      </c>
      <c r="AC30" s="59">
        <v>0.13117129999999999</v>
      </c>
    </row>
    <row r="31" spans="1:29" x14ac:dyDescent="0.3">
      <c r="A31" s="150"/>
      <c r="B31" s="2" t="s">
        <v>61</v>
      </c>
      <c r="C31" s="67">
        <v>9.9407010000000006E-6</v>
      </c>
      <c r="D31" s="67">
        <v>9.8781430000000005E-6</v>
      </c>
      <c r="E31" s="67">
        <v>9.8272180000000006E-6</v>
      </c>
      <c r="F31" s="67">
        <v>9.7828299999999993E-6</v>
      </c>
      <c r="G31" s="67">
        <v>9.7445219999999998E-6</v>
      </c>
      <c r="H31" s="67">
        <v>9.7101890000000006E-6</v>
      </c>
      <c r="I31" s="67">
        <v>9.6501329999999996E-6</v>
      </c>
      <c r="J31" s="67">
        <v>9.5998359999999993E-6</v>
      </c>
      <c r="K31" s="67">
        <v>9.5593390000000001E-6</v>
      </c>
      <c r="L31" s="67">
        <v>9.5292259999999996E-6</v>
      </c>
      <c r="M31" s="67">
        <v>9.5064279999999992E-6</v>
      </c>
      <c r="N31" s="67">
        <v>9.5303310000000007E-6</v>
      </c>
      <c r="O31" s="67">
        <v>9.7076259999999995E-6</v>
      </c>
      <c r="P31" s="67">
        <v>9.8938959999999993E-6</v>
      </c>
      <c r="Q31" s="67">
        <v>1.00504E-5</v>
      </c>
      <c r="R31" s="67">
        <v>1.0178939999999999E-5</v>
      </c>
      <c r="S31" s="67">
        <v>1.028662E-5</v>
      </c>
      <c r="T31" s="67">
        <v>1.037622E-5</v>
      </c>
      <c r="U31" s="67">
        <v>1.0451299999999999E-5</v>
      </c>
      <c r="V31" s="67">
        <v>1.0516970000000001E-5</v>
      </c>
      <c r="W31" s="67">
        <v>1.057537E-5</v>
      </c>
      <c r="X31" s="67">
        <v>1.0625630000000001E-5</v>
      </c>
      <c r="Y31" s="67">
        <v>1.067248E-5</v>
      </c>
      <c r="Z31" s="67">
        <v>1.071531E-5</v>
      </c>
      <c r="AA31" s="67">
        <v>1.07558E-5</v>
      </c>
      <c r="AB31" s="93">
        <v>1.079492E-5</v>
      </c>
      <c r="AC31" s="67">
        <v>1.0843919999999999E-5</v>
      </c>
    </row>
    <row r="32" spans="1:29" x14ac:dyDescent="0.3">
      <c r="A32" s="150" t="s">
        <v>27</v>
      </c>
      <c r="B32" s="12" t="s">
        <v>35</v>
      </c>
    </row>
    <row r="33" spans="1:29" x14ac:dyDescent="0.3">
      <c r="A33" s="150"/>
      <c r="B33" s="2" t="s">
        <v>11</v>
      </c>
      <c r="C33" s="51">
        <v>0.74110089999999995</v>
      </c>
      <c r="D33" s="51">
        <v>0.74128459999999996</v>
      </c>
      <c r="E33" s="51">
        <v>0.74146540000000005</v>
      </c>
      <c r="F33" s="51">
        <v>0.74164370000000002</v>
      </c>
      <c r="G33" s="51">
        <v>0.74179260000000002</v>
      </c>
      <c r="H33" s="51">
        <v>0.74192919999999996</v>
      </c>
      <c r="I33" s="51">
        <v>0.74214659999999999</v>
      </c>
      <c r="J33" s="51">
        <v>0.74230620000000003</v>
      </c>
      <c r="K33" s="51">
        <v>0.74239690000000003</v>
      </c>
      <c r="L33" s="51">
        <v>0.74241299999999999</v>
      </c>
      <c r="M33" s="51">
        <v>0.7423727</v>
      </c>
      <c r="N33" s="51">
        <v>0.74150740000000004</v>
      </c>
      <c r="O33" s="51">
        <v>0.73911729999999998</v>
      </c>
      <c r="P33" s="51">
        <v>0.7367435</v>
      </c>
      <c r="Q33" s="51">
        <v>0.7347728</v>
      </c>
      <c r="R33" s="51">
        <v>0.73316079999999995</v>
      </c>
      <c r="S33" s="51">
        <v>0.73182080000000005</v>
      </c>
      <c r="T33" s="51">
        <v>0.73070310000000005</v>
      </c>
      <c r="U33" s="51">
        <v>0.72976350000000001</v>
      </c>
      <c r="V33" s="51">
        <v>0.7289487</v>
      </c>
      <c r="W33" s="51">
        <v>0.72822549999999997</v>
      </c>
      <c r="X33" s="51">
        <v>0.72759870000000004</v>
      </c>
      <c r="Y33" s="51">
        <v>0.72701689999999997</v>
      </c>
      <c r="Z33" s="59">
        <v>0.72648299999999999</v>
      </c>
      <c r="AA33" s="59">
        <v>0.72598079999999998</v>
      </c>
      <c r="AB33" s="24">
        <v>0.7254969</v>
      </c>
      <c r="AC33" s="59">
        <v>0.72489269999999995</v>
      </c>
    </row>
    <row r="34" spans="1:29" x14ac:dyDescent="0.3">
      <c r="A34" s="150"/>
      <c r="B34" s="2" t="s">
        <v>12</v>
      </c>
      <c r="C34" s="51">
        <v>6.2831800000000002E-3</v>
      </c>
      <c r="D34" s="51">
        <v>6.0741830000000004E-3</v>
      </c>
      <c r="E34" s="51">
        <v>5.8632279999999998E-3</v>
      </c>
      <c r="F34" s="51">
        <v>5.6626350000000001E-3</v>
      </c>
      <c r="G34" s="51">
        <v>5.4798360000000001E-3</v>
      </c>
      <c r="H34" s="51">
        <v>5.3146410000000002E-3</v>
      </c>
      <c r="I34" s="51">
        <v>5.0381860000000001E-3</v>
      </c>
      <c r="J34" s="51">
        <v>4.8197400000000003E-3</v>
      </c>
      <c r="K34" s="51">
        <v>4.6467820000000003E-3</v>
      </c>
      <c r="L34" s="51">
        <v>4.5082639999999997E-3</v>
      </c>
      <c r="M34" s="51">
        <v>4.3956280000000004E-3</v>
      </c>
      <c r="N34" s="51">
        <v>4.1924620000000001E-3</v>
      </c>
      <c r="O34" s="51">
        <v>4.0603560000000002E-3</v>
      </c>
      <c r="P34" s="51">
        <v>3.9698429999999998E-3</v>
      </c>
      <c r="Q34" s="51">
        <v>3.9059920000000001E-3</v>
      </c>
      <c r="R34" s="51">
        <v>3.859599E-3</v>
      </c>
      <c r="S34" s="51">
        <v>3.8244189999999999E-3</v>
      </c>
      <c r="T34" s="51">
        <v>3.7975679999999999E-3</v>
      </c>
      <c r="U34" s="51">
        <v>3.7760189999999998E-3</v>
      </c>
      <c r="V34" s="51">
        <v>3.7588270000000002E-3</v>
      </c>
      <c r="W34" s="51">
        <v>3.7462810000000002E-3</v>
      </c>
      <c r="X34" s="51">
        <v>3.7358109999999999E-3</v>
      </c>
      <c r="Y34" s="51">
        <v>3.7286979999999999E-3</v>
      </c>
      <c r="Z34" s="59">
        <v>3.7243559999999998E-3</v>
      </c>
      <c r="AA34" s="59">
        <v>3.7232760000000002E-3</v>
      </c>
      <c r="AB34" s="24">
        <v>3.726984E-3</v>
      </c>
      <c r="AC34" s="59">
        <v>3.7400939999999998E-3</v>
      </c>
    </row>
    <row r="35" spans="1:29" x14ac:dyDescent="0.3">
      <c r="A35" s="150"/>
      <c r="B35" s="2" t="s">
        <v>13</v>
      </c>
      <c r="C35" s="51">
        <v>9.3203820000000001E-4</v>
      </c>
      <c r="D35" s="51">
        <v>9.3185260000000004E-4</v>
      </c>
      <c r="E35" s="51">
        <v>9.324178E-4</v>
      </c>
      <c r="F35" s="51">
        <v>9.3405150000000004E-4</v>
      </c>
      <c r="G35" s="51">
        <v>9.3708319999999997E-4</v>
      </c>
      <c r="H35" s="51">
        <v>9.4125869999999996E-4</v>
      </c>
      <c r="I35" s="51">
        <v>9.5303849999999997E-4</v>
      </c>
      <c r="J35" s="51">
        <v>9.678725E-4</v>
      </c>
      <c r="K35" s="51">
        <v>9.848356999999999E-4</v>
      </c>
      <c r="L35" s="51">
        <v>1.002984E-3</v>
      </c>
      <c r="M35" s="51">
        <v>1.021625E-3</v>
      </c>
      <c r="N35" s="51">
        <v>1.067244E-3</v>
      </c>
      <c r="O35" s="51">
        <v>1.1079810000000001E-3</v>
      </c>
      <c r="P35" s="51">
        <v>1.1440720000000001E-3</v>
      </c>
      <c r="Q35" s="51">
        <v>1.1762420000000001E-3</v>
      </c>
      <c r="R35" s="51">
        <v>1.204894E-3</v>
      </c>
      <c r="S35" s="51">
        <v>1.2301600000000001E-3</v>
      </c>
      <c r="T35" s="51">
        <v>1.2528330000000001E-3</v>
      </c>
      <c r="U35" s="51">
        <v>1.272933E-3</v>
      </c>
      <c r="V35" s="51">
        <v>1.2910510000000001E-3</v>
      </c>
      <c r="W35" s="51">
        <v>1.3080100000000001E-3</v>
      </c>
      <c r="X35" s="51">
        <v>1.3233749999999999E-3</v>
      </c>
      <c r="Y35" s="51">
        <v>1.3381319999999999E-3</v>
      </c>
      <c r="Z35" s="59">
        <v>1.352451E-3</v>
      </c>
      <c r="AA35" s="59">
        <v>1.366564E-3</v>
      </c>
      <c r="AB35" s="24">
        <v>1.380631E-3</v>
      </c>
      <c r="AC35" s="59">
        <v>1.3995570000000001E-3</v>
      </c>
    </row>
    <row r="36" spans="1:29" x14ac:dyDescent="0.3">
      <c r="A36" s="150"/>
      <c r="B36" s="2" t="s">
        <v>14</v>
      </c>
      <c r="C36" s="51">
        <v>1.4264820000000001E-4</v>
      </c>
      <c r="D36" s="51">
        <v>1.4264050000000001E-4</v>
      </c>
      <c r="E36" s="51">
        <v>1.4273270000000001E-4</v>
      </c>
      <c r="F36" s="51">
        <v>1.429709E-4</v>
      </c>
      <c r="G36" s="51">
        <v>1.4340610000000001E-4</v>
      </c>
      <c r="H36" s="51">
        <v>1.4400139999999999E-4</v>
      </c>
      <c r="I36" s="51">
        <v>1.4567909999999999E-4</v>
      </c>
      <c r="J36" s="51">
        <v>1.4778839999999999E-4</v>
      </c>
      <c r="K36" s="51">
        <v>1.502005E-4</v>
      </c>
      <c r="L36" s="51">
        <v>1.527798E-4</v>
      </c>
      <c r="M36" s="51">
        <v>1.5542759999999999E-4</v>
      </c>
      <c r="N36" s="51">
        <v>1.6189469999999999E-4</v>
      </c>
      <c r="O36" s="51">
        <v>1.6764610000000001E-4</v>
      </c>
      <c r="P36" s="51">
        <v>1.727322E-4</v>
      </c>
      <c r="Q36" s="51">
        <v>1.772659E-4</v>
      </c>
      <c r="R36" s="51">
        <v>1.8130549999999999E-4</v>
      </c>
      <c r="S36" s="51">
        <v>1.8486690000000001E-4</v>
      </c>
      <c r="T36" s="51">
        <v>1.8806540000000001E-4</v>
      </c>
      <c r="U36" s="51">
        <v>1.9089899999999999E-4</v>
      </c>
      <c r="V36" s="51">
        <v>1.9345380000000001E-4</v>
      </c>
      <c r="W36" s="51">
        <v>1.9585100000000001E-4</v>
      </c>
      <c r="X36" s="51">
        <v>1.980215E-4</v>
      </c>
      <c r="Y36" s="51">
        <v>2.0011169999999999E-4</v>
      </c>
      <c r="Z36" s="59">
        <v>2.0214429999999999E-4</v>
      </c>
      <c r="AA36" s="59">
        <v>2.0415360000000001E-4</v>
      </c>
      <c r="AB36" s="24">
        <v>2.061671E-4</v>
      </c>
      <c r="AC36" s="59">
        <v>2.0889509999999999E-4</v>
      </c>
    </row>
    <row r="37" spans="1:29" x14ac:dyDescent="0.3">
      <c r="A37" s="150"/>
      <c r="B37" s="2" t="s">
        <v>15</v>
      </c>
      <c r="C37" s="51">
        <v>0.25153809999999999</v>
      </c>
      <c r="D37" s="51">
        <v>0.2515636</v>
      </c>
      <c r="E37" s="51">
        <v>0.25159310000000001</v>
      </c>
      <c r="F37" s="51">
        <v>0.25161359999999999</v>
      </c>
      <c r="G37" s="51">
        <v>0.25164409999999998</v>
      </c>
      <c r="H37" s="51">
        <v>0.2516678</v>
      </c>
      <c r="I37" s="51">
        <v>0.25171349999999998</v>
      </c>
      <c r="J37" s="51">
        <v>0.25175540000000002</v>
      </c>
      <c r="K37" s="51">
        <v>0.25181829999999999</v>
      </c>
      <c r="L37" s="51">
        <v>0.25191989999999997</v>
      </c>
      <c r="M37" s="51">
        <v>0.25205159999999999</v>
      </c>
      <c r="N37" s="51">
        <v>0.25306810000000002</v>
      </c>
      <c r="O37" s="51">
        <v>0.25554359999999998</v>
      </c>
      <c r="P37" s="51">
        <v>0.2579668</v>
      </c>
      <c r="Q37" s="51">
        <v>0.25996459999999999</v>
      </c>
      <c r="R37" s="51">
        <v>0.26159019999999999</v>
      </c>
      <c r="S37" s="51">
        <v>0.26293650000000002</v>
      </c>
      <c r="T37" s="51">
        <v>0.26405519999999999</v>
      </c>
      <c r="U37" s="51">
        <v>0.26499339999999999</v>
      </c>
      <c r="V37" s="51">
        <v>0.2658047</v>
      </c>
      <c r="W37" s="51">
        <v>0.26652120000000001</v>
      </c>
      <c r="X37" s="51">
        <v>0.26714080000000001</v>
      </c>
      <c r="Y37" s="51">
        <v>0.26771289999999998</v>
      </c>
      <c r="Z37" s="59">
        <v>0.26823469999999999</v>
      </c>
      <c r="AA37" s="59">
        <v>0.26872190000000001</v>
      </c>
      <c r="AB37" s="24">
        <v>0.26918589999999998</v>
      </c>
      <c r="AC37" s="59">
        <v>0.26975539999999998</v>
      </c>
    </row>
    <row r="38" spans="1:29" x14ac:dyDescent="0.3">
      <c r="A38" s="150"/>
      <c r="B38" s="2" t="s">
        <v>61</v>
      </c>
      <c r="C38" s="67">
        <v>3.1350099999999999E-6</v>
      </c>
      <c r="D38" s="67">
        <v>3.1148790000000001E-6</v>
      </c>
      <c r="E38" s="67">
        <v>3.0984080000000001E-6</v>
      </c>
      <c r="F38" s="67">
        <v>3.0840360000000002E-6</v>
      </c>
      <c r="G38" s="67">
        <v>3.0715909999999999E-6</v>
      </c>
      <c r="H38" s="67">
        <v>3.0604419999999998E-6</v>
      </c>
      <c r="I38" s="67">
        <v>3.0409520000000001E-6</v>
      </c>
      <c r="J38" s="67">
        <v>3.0246400000000001E-6</v>
      </c>
      <c r="K38" s="67">
        <v>3.0114469999999999E-6</v>
      </c>
      <c r="L38" s="67">
        <v>3.0015009999999998E-6</v>
      </c>
      <c r="M38" s="67">
        <v>2.9938410000000001E-6</v>
      </c>
      <c r="N38" s="67">
        <v>2.9988660000000001E-6</v>
      </c>
      <c r="O38" s="67">
        <v>3.0491370000000001E-6</v>
      </c>
      <c r="P38" s="67">
        <v>3.1022109999999998E-6</v>
      </c>
      <c r="Q38" s="67">
        <v>3.1467459999999999E-6</v>
      </c>
      <c r="R38" s="67">
        <v>3.1832599999999998E-6</v>
      </c>
      <c r="S38" s="67">
        <v>3.2138130000000002E-6</v>
      </c>
      <c r="T38" s="67">
        <v>3.2391949999999999E-6</v>
      </c>
      <c r="U38" s="67">
        <v>3.260424E-6</v>
      </c>
      <c r="V38" s="67">
        <v>3.27899E-6</v>
      </c>
      <c r="W38" s="67">
        <v>3.2954970000000002E-6</v>
      </c>
      <c r="X38" s="67">
        <v>3.3096789999999999E-6</v>
      </c>
      <c r="Y38" s="67">
        <v>3.3229049999999999E-6</v>
      </c>
      <c r="Z38" s="67">
        <v>3.33499E-6</v>
      </c>
      <c r="AA38" s="67">
        <v>3.3464240000000001E-6</v>
      </c>
      <c r="AB38" s="93">
        <v>3.3574869999999999E-6</v>
      </c>
      <c r="AC38" s="67">
        <v>3.3713720000000001E-6</v>
      </c>
    </row>
  </sheetData>
  <mergeCells count="2">
    <mergeCell ref="A25:A31"/>
    <mergeCell ref="A32:A38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0"/>
  <sheetViews>
    <sheetView topLeftCell="C8" zoomScale="80" zoomScaleNormal="80" workbookViewId="0">
      <selection activeCell="M34" sqref="M34:M40"/>
    </sheetView>
  </sheetViews>
  <sheetFormatPr defaultRowHeight="15.6" x14ac:dyDescent="0.3"/>
  <cols>
    <col min="1" max="1" width="51.59765625" customWidth="1"/>
    <col min="2" max="2" width="20.8984375" customWidth="1"/>
    <col min="3" max="3" width="9.3984375" customWidth="1"/>
    <col min="13" max="13" width="8.796875" style="24"/>
  </cols>
  <sheetData>
    <row r="1" spans="1:15" x14ac:dyDescent="0.3">
      <c r="A1" s="61" t="s">
        <v>69</v>
      </c>
      <c r="B1" s="62" t="s">
        <v>8</v>
      </c>
      <c r="C1" s="64" t="s">
        <v>68</v>
      </c>
    </row>
    <row r="2" spans="1:15" x14ac:dyDescent="0.3">
      <c r="A2" s="3" t="s">
        <v>17</v>
      </c>
      <c r="B2" s="2" t="s">
        <v>1</v>
      </c>
      <c r="C2" s="58">
        <v>40</v>
      </c>
      <c r="D2" s="58">
        <v>40</v>
      </c>
      <c r="E2" s="58">
        <v>40</v>
      </c>
      <c r="F2" s="58">
        <v>40</v>
      </c>
      <c r="G2" s="58">
        <v>40</v>
      </c>
      <c r="H2" s="58">
        <v>40</v>
      </c>
      <c r="I2" s="58">
        <v>40</v>
      </c>
      <c r="J2" s="58">
        <v>40</v>
      </c>
      <c r="K2" s="58">
        <v>40</v>
      </c>
      <c r="L2" s="58">
        <v>40</v>
      </c>
      <c r="M2" s="85">
        <v>40</v>
      </c>
      <c r="N2" s="58">
        <v>40</v>
      </c>
      <c r="O2" s="58">
        <v>40</v>
      </c>
    </row>
    <row r="3" spans="1:15" x14ac:dyDescent="0.3">
      <c r="A3" s="3" t="s">
        <v>16</v>
      </c>
      <c r="B3" s="2" t="s">
        <v>2</v>
      </c>
      <c r="C3" s="58">
        <v>1.0129999999999999</v>
      </c>
      <c r="D3" s="58">
        <v>1.0129999999999999</v>
      </c>
      <c r="E3" s="58">
        <v>1.0129999999999999</v>
      </c>
      <c r="F3" s="58">
        <v>1.0129999999999999</v>
      </c>
      <c r="G3" s="58">
        <v>1.0129999999999999</v>
      </c>
      <c r="H3" s="58">
        <v>1.0129999999999999</v>
      </c>
      <c r="I3" s="58">
        <v>1.0129999999999999</v>
      </c>
      <c r="J3" s="58">
        <v>1.0129999999999999</v>
      </c>
      <c r="K3" s="58">
        <v>1.0129999999999999</v>
      </c>
      <c r="L3" s="58">
        <v>1.0129999999999999</v>
      </c>
      <c r="M3" s="85">
        <v>1.0129999999999999</v>
      </c>
      <c r="N3" s="58">
        <v>1.0129999999999999</v>
      </c>
      <c r="O3" s="58">
        <v>1.0129999999999999</v>
      </c>
    </row>
    <row r="4" spans="1:15" x14ac:dyDescent="0.3">
      <c r="A4" s="3" t="s">
        <v>3</v>
      </c>
      <c r="B4" s="2" t="s">
        <v>1</v>
      </c>
      <c r="C4" s="58">
        <v>40</v>
      </c>
      <c r="D4" s="58">
        <v>40</v>
      </c>
      <c r="E4" s="58">
        <v>40</v>
      </c>
      <c r="F4" s="58">
        <v>40</v>
      </c>
      <c r="G4" s="58">
        <v>40</v>
      </c>
      <c r="H4" s="58">
        <v>40</v>
      </c>
      <c r="I4" s="58">
        <v>40</v>
      </c>
      <c r="J4" s="58">
        <v>40</v>
      </c>
      <c r="K4" s="58">
        <v>40</v>
      </c>
      <c r="L4" s="58">
        <v>40</v>
      </c>
      <c r="M4" s="85">
        <v>40</v>
      </c>
      <c r="N4" s="58">
        <v>40</v>
      </c>
      <c r="O4" s="58">
        <v>40</v>
      </c>
    </row>
    <row r="5" spans="1:15" x14ac:dyDescent="0.3">
      <c r="A5" s="3" t="s">
        <v>18</v>
      </c>
      <c r="B5" s="2" t="s">
        <v>2</v>
      </c>
      <c r="C5" s="58">
        <v>1.0129999999999999</v>
      </c>
      <c r="D5" s="58">
        <v>1.0129999999999999</v>
      </c>
      <c r="E5" s="58">
        <v>1.0129999999999999</v>
      </c>
      <c r="F5" s="58">
        <v>1.0129999999999999</v>
      </c>
      <c r="G5" s="58">
        <v>1.0129999999999999</v>
      </c>
      <c r="H5" s="58">
        <v>1.0129999999999999</v>
      </c>
      <c r="I5" s="58">
        <v>1.0129999999999999</v>
      </c>
      <c r="J5" s="58">
        <v>1.0129999999999999</v>
      </c>
      <c r="K5" s="58">
        <v>1.0129999999999999</v>
      </c>
      <c r="L5" s="58">
        <v>1.0129999999999999</v>
      </c>
      <c r="M5" s="85">
        <v>1.0129999999999999</v>
      </c>
      <c r="N5" s="58">
        <v>1.0129999999999999</v>
      </c>
      <c r="O5" s="58">
        <v>1.0129999999999999</v>
      </c>
    </row>
    <row r="6" spans="1:15" x14ac:dyDescent="0.3">
      <c r="A6" s="3" t="s">
        <v>4</v>
      </c>
      <c r="B6" s="2" t="s">
        <v>5</v>
      </c>
      <c r="C6" s="77">
        <f>'MEA 30%'!$C$6</f>
        <v>5050.3680000000004</v>
      </c>
      <c r="D6" s="77">
        <f>'MEA 30%'!$C$6</f>
        <v>5050.3680000000004</v>
      </c>
      <c r="E6" s="77">
        <f>'MEA 30%'!$C$6</f>
        <v>5050.3680000000004</v>
      </c>
      <c r="F6" s="77">
        <f>'MEA 30%'!$C$6</f>
        <v>5050.3680000000004</v>
      </c>
      <c r="G6" s="77">
        <f>'MEA 30%'!$C$6</f>
        <v>5050.3680000000004</v>
      </c>
      <c r="H6" s="77">
        <f>'MEA 30%'!$C$6</f>
        <v>5050.3680000000004</v>
      </c>
      <c r="I6" s="77">
        <f>'MEA 30%'!$C$6</f>
        <v>5050.3680000000004</v>
      </c>
      <c r="J6" s="77">
        <f>'MEA 30%'!$C$6</f>
        <v>5050.3680000000004</v>
      </c>
      <c r="K6" s="77">
        <f>'MEA 30%'!$C$6</f>
        <v>5050.3680000000004</v>
      </c>
      <c r="L6" s="77">
        <f>'MEA 30%'!$C$6</f>
        <v>5050.3680000000004</v>
      </c>
      <c r="M6" s="86">
        <f>'MEA 30%'!$C$6</f>
        <v>5050.3680000000004</v>
      </c>
      <c r="N6" s="77">
        <f>'MEA 30%'!$C$6</f>
        <v>5050.3680000000004</v>
      </c>
      <c r="O6" s="77">
        <f>'MEA 30%'!$C$6</f>
        <v>5050.3680000000004</v>
      </c>
    </row>
    <row r="7" spans="1:15" x14ac:dyDescent="0.3">
      <c r="A7" s="6" t="s">
        <v>6</v>
      </c>
      <c r="B7" s="22" t="s">
        <v>5</v>
      </c>
      <c r="C7" s="88">
        <f>C8*C6</f>
        <v>2525.1840000000002</v>
      </c>
      <c r="D7" s="88">
        <f t="shared" ref="D7:O7" si="0">D8*D6</f>
        <v>3030.2208000000001</v>
      </c>
      <c r="E7" s="88">
        <f t="shared" si="0"/>
        <v>3535.2575999999999</v>
      </c>
      <c r="F7" s="88">
        <f t="shared" si="0"/>
        <v>4040.2944000000007</v>
      </c>
      <c r="G7" s="88">
        <f t="shared" si="0"/>
        <v>4545.3312000000005</v>
      </c>
      <c r="H7" s="88">
        <f t="shared" si="0"/>
        <v>5050.3680000000004</v>
      </c>
      <c r="I7" s="88">
        <f t="shared" si="0"/>
        <v>5555.4048000000012</v>
      </c>
      <c r="J7" s="88">
        <f t="shared" si="0"/>
        <v>6060.4416000000001</v>
      </c>
      <c r="K7" s="88">
        <f t="shared" si="0"/>
        <v>6565.4784000000009</v>
      </c>
      <c r="L7" s="88">
        <f t="shared" si="0"/>
        <v>7070.5151999999998</v>
      </c>
      <c r="M7" s="91">
        <f t="shared" si="0"/>
        <v>7277.580288000001</v>
      </c>
      <c r="N7" s="88">
        <f t="shared" si="0"/>
        <v>7575.5520000000006</v>
      </c>
      <c r="O7" s="88">
        <f t="shared" si="0"/>
        <v>8080.5888000000014</v>
      </c>
    </row>
    <row r="8" spans="1:15" x14ac:dyDescent="0.3">
      <c r="A8" s="3" t="s">
        <v>7</v>
      </c>
      <c r="B8" s="2" t="s">
        <v>29</v>
      </c>
      <c r="C8" s="89">
        <v>0.5</v>
      </c>
      <c r="D8" s="90">
        <v>0.6</v>
      </c>
      <c r="E8" s="90">
        <v>0.7</v>
      </c>
      <c r="F8" s="90">
        <v>0.8</v>
      </c>
      <c r="G8" s="90">
        <v>0.9</v>
      </c>
      <c r="H8" s="90">
        <v>1</v>
      </c>
      <c r="I8" s="90">
        <v>1.1000000000000001</v>
      </c>
      <c r="J8" s="90">
        <v>1.2</v>
      </c>
      <c r="K8" s="90">
        <v>1.3</v>
      </c>
      <c r="L8" s="90">
        <v>1.4</v>
      </c>
      <c r="M8" s="92">
        <v>1.4410000000000001</v>
      </c>
      <c r="N8" s="90">
        <v>1.5</v>
      </c>
      <c r="O8" s="90">
        <v>1.6</v>
      </c>
    </row>
    <row r="9" spans="1:15" ht="18" x14ac:dyDescent="0.4">
      <c r="A9" s="3" t="s">
        <v>32</v>
      </c>
      <c r="B9" s="2" t="s">
        <v>5</v>
      </c>
      <c r="C9" s="1">
        <v>802.09379999999999</v>
      </c>
      <c r="D9" s="1">
        <v>802.09379999999999</v>
      </c>
      <c r="E9" s="1">
        <v>802.09379999999999</v>
      </c>
      <c r="F9" s="1">
        <v>802.09379999999999</v>
      </c>
      <c r="G9" s="1">
        <v>802.09379999999999</v>
      </c>
      <c r="H9" s="1">
        <v>802.09379999999999</v>
      </c>
      <c r="I9" s="1">
        <v>802.09379999999999</v>
      </c>
      <c r="J9" s="1">
        <v>802.09379999999999</v>
      </c>
      <c r="K9" s="1">
        <v>802.09379999999999</v>
      </c>
      <c r="L9" s="1">
        <v>802.09379999999999</v>
      </c>
      <c r="M9" s="32">
        <v>802.09379999999999</v>
      </c>
      <c r="N9" s="1">
        <v>802.09379999999999</v>
      </c>
      <c r="O9" s="1">
        <v>802.09379999999999</v>
      </c>
    </row>
    <row r="10" spans="1:15" ht="18" x14ac:dyDescent="0.4">
      <c r="A10" s="3" t="s">
        <v>33</v>
      </c>
      <c r="B10" s="2" t="s">
        <v>5</v>
      </c>
      <c r="C10" s="59">
        <v>537.92819999999995</v>
      </c>
      <c r="D10" s="59">
        <v>486.39</v>
      </c>
      <c r="E10" s="59">
        <v>435.53359999999998</v>
      </c>
      <c r="F10" s="59">
        <v>385.35930000000002</v>
      </c>
      <c r="G10" s="59">
        <v>335.86430000000001</v>
      </c>
      <c r="H10" s="59">
        <v>287.03930000000003</v>
      </c>
      <c r="I10" s="59">
        <v>238.8519</v>
      </c>
      <c r="J10" s="59">
        <v>191.34880000000001</v>
      </c>
      <c r="K10" s="59">
        <v>144.57730000000001</v>
      </c>
      <c r="L10" s="59">
        <v>98.671959999999999</v>
      </c>
      <c r="M10" s="24">
        <v>80.165530000000004</v>
      </c>
      <c r="N10" s="59">
        <v>53.983669999999996</v>
      </c>
      <c r="O10" s="59">
        <v>12.365959999999999</v>
      </c>
    </row>
    <row r="11" spans="1:15" x14ac:dyDescent="0.3">
      <c r="A11" s="3" t="s">
        <v>49</v>
      </c>
      <c r="B11" s="2" t="s">
        <v>5</v>
      </c>
      <c r="C11" s="59">
        <v>264.16559999999998</v>
      </c>
      <c r="D11" s="59">
        <v>315.7038</v>
      </c>
      <c r="E11" s="59">
        <v>366.56029999999998</v>
      </c>
      <c r="F11" s="59">
        <v>416.73450000000003</v>
      </c>
      <c r="G11" s="59">
        <v>466.22949999999997</v>
      </c>
      <c r="H11" s="59">
        <v>515.05470000000003</v>
      </c>
      <c r="I11" s="59">
        <v>563.24189999999999</v>
      </c>
      <c r="J11" s="59">
        <v>610.74519999999995</v>
      </c>
      <c r="K11" s="59">
        <v>657.51660000000004</v>
      </c>
      <c r="L11" s="59">
        <v>703.42190000000005</v>
      </c>
      <c r="M11" s="24">
        <v>721.92830000000004</v>
      </c>
      <c r="N11" s="59">
        <v>748.11009999999999</v>
      </c>
      <c r="O11" s="59">
        <v>789.7278</v>
      </c>
    </row>
    <row r="12" spans="1:15" ht="18" x14ac:dyDescent="0.4">
      <c r="A12" s="3" t="s">
        <v>19</v>
      </c>
      <c r="B12" s="2" t="s">
        <v>8</v>
      </c>
      <c r="C12" s="60">
        <f>(C9-C10)/C9*100</f>
        <v>32.934502174184622</v>
      </c>
      <c r="D12" s="60">
        <f t="shared" ref="D12:O12" si="1">(D9-D10)/D9*100</f>
        <v>39.359960144312303</v>
      </c>
      <c r="E12" s="60">
        <f t="shared" si="1"/>
        <v>45.700415587304128</v>
      </c>
      <c r="F12" s="60">
        <f t="shared" si="1"/>
        <v>51.955831101050777</v>
      </c>
      <c r="G12" s="60">
        <f t="shared" si="1"/>
        <v>58.126555771905977</v>
      </c>
      <c r="H12" s="60">
        <f t="shared" si="1"/>
        <v>64.213749065258952</v>
      </c>
      <c r="I12" s="60">
        <f t="shared" si="1"/>
        <v>70.221450408917264</v>
      </c>
      <c r="J12" s="60">
        <f t="shared" si="1"/>
        <v>76.14383754119531</v>
      </c>
      <c r="K12" s="60">
        <f t="shared" si="1"/>
        <v>81.975013396188828</v>
      </c>
      <c r="L12" s="60">
        <f t="shared" si="1"/>
        <v>87.698201881126622</v>
      </c>
      <c r="M12" s="24">
        <f t="shared" si="1"/>
        <v>90.005466941646972</v>
      </c>
      <c r="N12" s="60">
        <f t="shared" si="1"/>
        <v>93.269656242200099</v>
      </c>
      <c r="O12" s="60">
        <f t="shared" si="1"/>
        <v>98.458290040391788</v>
      </c>
    </row>
    <row r="13" spans="1:15" x14ac:dyDescent="0.3">
      <c r="A13" s="3" t="s">
        <v>20</v>
      </c>
      <c r="B13" s="2" t="s">
        <v>1</v>
      </c>
      <c r="C13" s="59">
        <v>44.308459999999997</v>
      </c>
      <c r="D13" s="59">
        <v>47.020490000000002</v>
      </c>
      <c r="E13" s="59">
        <v>49.297809999999998</v>
      </c>
      <c r="F13" s="59">
        <v>51.239649999999997</v>
      </c>
      <c r="G13" s="59">
        <v>52.915610000000001</v>
      </c>
      <c r="H13" s="59">
        <v>54.373060000000002</v>
      </c>
      <c r="I13" s="59">
        <v>55.653779999999998</v>
      </c>
      <c r="J13" s="59">
        <v>56.774450000000002</v>
      </c>
      <c r="K13" s="59">
        <v>57.750610000000002</v>
      </c>
      <c r="L13" s="59">
        <v>58.579189999999997</v>
      </c>
      <c r="M13" s="24">
        <v>58.870060000000002</v>
      </c>
      <c r="N13" s="59">
        <v>59.220709999999997</v>
      </c>
      <c r="O13" s="59">
        <v>59.410119999999999</v>
      </c>
    </row>
    <row r="14" spans="1:15" ht="18" x14ac:dyDescent="0.4">
      <c r="A14" s="3" t="s">
        <v>21</v>
      </c>
      <c r="B14" s="2" t="s">
        <v>1</v>
      </c>
      <c r="C14" s="59">
        <v>18.9434</v>
      </c>
      <c r="D14" s="59">
        <v>20.281600000000001</v>
      </c>
      <c r="E14" s="59">
        <v>21.725930000000002</v>
      </c>
      <c r="F14" s="59">
        <v>23.209009999999999</v>
      </c>
      <c r="G14" s="59">
        <v>24.69295</v>
      </c>
      <c r="H14" s="59">
        <v>26.16525</v>
      </c>
      <c r="I14" s="59">
        <v>27.598089999999999</v>
      </c>
      <c r="J14" s="59">
        <v>29.014340000000001</v>
      </c>
      <c r="K14" s="59">
        <v>30.416080000000001</v>
      </c>
      <c r="L14" s="59">
        <v>31.83389</v>
      </c>
      <c r="M14" s="24">
        <v>32.432209999999998</v>
      </c>
      <c r="N14" s="59">
        <v>33.342610000000001</v>
      </c>
      <c r="O14" s="59">
        <v>35.33043</v>
      </c>
    </row>
    <row r="15" spans="1:15" x14ac:dyDescent="0.3">
      <c r="A15" s="3" t="s">
        <v>70</v>
      </c>
      <c r="B15" s="2" t="s">
        <v>5</v>
      </c>
      <c r="C15" s="59">
        <f>0.0006228536+0.1163441</f>
        <v>0.11696695360000001</v>
      </c>
      <c r="D15" s="59">
        <f>0.0009313098+0.1694703</f>
        <v>0.17040160979999999</v>
      </c>
      <c r="E15">
        <f>0.001304199+0.2337956</f>
        <v>0.235099799</v>
      </c>
      <c r="F15">
        <f>0.3100285+0.001739815</f>
        <v>0.31176831499999996</v>
      </c>
      <c r="G15">
        <f>0.3994883+0.002237442</f>
        <v>0.401725742</v>
      </c>
      <c r="H15">
        <f>0.5042326+0.002797124</f>
        <v>0.50702972400000001</v>
      </c>
      <c r="I15">
        <f>0.6284021+0.003424604</f>
        <v>0.63182670399999996</v>
      </c>
      <c r="J15">
        <f>0.7782997+0.004125391</f>
        <v>0.78242509100000002</v>
      </c>
      <c r="K15">
        <f>0.9663839+0.004914902</f>
        <v>0.97129880199999996</v>
      </c>
      <c r="L15">
        <f>1.21922+0.005821552</f>
        <v>1.225041552</v>
      </c>
      <c r="M15" s="24">
        <f>1.355189+0.006239994</f>
        <v>1.3614289939999999</v>
      </c>
      <c r="N15">
        <f>0.006910268+1.611566</f>
        <v>1.618476268</v>
      </c>
      <c r="O15">
        <f>2.534344+0.008360059</f>
        <v>2.5427040590000001</v>
      </c>
    </row>
    <row r="16" spans="1:15" ht="18" x14ac:dyDescent="0.4">
      <c r="A16" s="3" t="s">
        <v>22</v>
      </c>
      <c r="B16" s="2" t="s">
        <v>71</v>
      </c>
      <c r="C16">
        <f>6002.399/(2401.798+8266.001)</f>
        <v>0.56266517582492892</v>
      </c>
      <c r="D16">
        <f>7173.457/(9918.713+2882.155)</f>
        <v>0.56038832679158945</v>
      </c>
      <c r="E16">
        <f>8329.022/(11571.24+3362.512)</f>
        <v>0.55773137253116301</v>
      </c>
      <c r="F16">
        <f>9469.088/(13223.57+3842.869)</f>
        <v>0.55483677643590446</v>
      </c>
      <c r="G16">
        <f>10593.72/(14875.69+4323.225)</f>
        <v>0.55178743173767886</v>
      </c>
      <c r="H16">
        <f>11703.13/(16527.56+4803.58)</f>
        <v>0.5486406258643467</v>
      </c>
      <c r="I16">
        <f>12798.04/(18179.12+5283.934)</f>
        <v>0.54545499490390303</v>
      </c>
      <c r="J16">
        <f>13877.42/(19830.23+5764.288)</f>
        <v>0.54220282640212247</v>
      </c>
      <c r="K16">
        <f>14940.16/(21480.73+6244.641)</f>
        <v>0.53886240151664699</v>
      </c>
      <c r="L16">
        <f>15983.23/(23130.18+6724.992)</f>
        <v>0.53535883162890507</v>
      </c>
      <c r="M16" s="24">
        <f>16403.73/(23805.92+6921.936)</f>
        <v>0.5338390677175785</v>
      </c>
      <c r="N16">
        <f>16998.64/(24777.34+7205.343)</f>
        <v>0.53149512190706449</v>
      </c>
      <c r="O16">
        <f>17944.28/(26415.8+7685.688)</f>
        <v>0.52620225838825563</v>
      </c>
    </row>
    <row r="17" spans="1:15" ht="18" x14ac:dyDescent="0.4">
      <c r="A17" s="3" t="s">
        <v>23</v>
      </c>
      <c r="B17" s="2" t="s">
        <v>1</v>
      </c>
      <c r="C17">
        <v>65</v>
      </c>
      <c r="D17" s="59">
        <v>65</v>
      </c>
      <c r="E17" s="59">
        <v>65</v>
      </c>
      <c r="F17" s="59">
        <v>65</v>
      </c>
      <c r="G17" s="59">
        <v>65</v>
      </c>
      <c r="H17" s="59">
        <v>65</v>
      </c>
      <c r="I17" s="59">
        <v>65</v>
      </c>
      <c r="J17" s="59">
        <v>65</v>
      </c>
      <c r="K17" s="59">
        <v>65</v>
      </c>
      <c r="L17" s="59">
        <v>65</v>
      </c>
      <c r="M17" s="24">
        <v>65</v>
      </c>
      <c r="N17" s="59">
        <v>65</v>
      </c>
      <c r="O17" s="59">
        <v>65</v>
      </c>
    </row>
    <row r="18" spans="1:15" ht="18" x14ac:dyDescent="0.4">
      <c r="A18" s="3" t="s">
        <v>24</v>
      </c>
      <c r="B18" s="2" t="s">
        <v>71</v>
      </c>
      <c r="C18">
        <v>0.21</v>
      </c>
      <c r="D18" s="59">
        <v>0.21</v>
      </c>
      <c r="E18" s="59">
        <v>0.21</v>
      </c>
      <c r="F18" s="59">
        <v>0.21</v>
      </c>
      <c r="G18" s="59">
        <v>0.21</v>
      </c>
      <c r="H18" s="59">
        <v>0.21</v>
      </c>
      <c r="I18" s="59">
        <v>0.21</v>
      </c>
      <c r="J18" s="59">
        <v>0.21</v>
      </c>
      <c r="K18" s="59">
        <v>0.21</v>
      </c>
      <c r="L18" s="59">
        <v>0.21</v>
      </c>
      <c r="M18" s="24">
        <v>0.21</v>
      </c>
      <c r="N18" s="59">
        <v>0.21</v>
      </c>
      <c r="O18" s="59">
        <v>0.21</v>
      </c>
    </row>
    <row r="19" spans="1:15" x14ac:dyDescent="0.3">
      <c r="A19" s="3" t="s">
        <v>25</v>
      </c>
      <c r="B19" s="2" t="s">
        <v>10</v>
      </c>
      <c r="C19" s="60">
        <v>834.99800000000005</v>
      </c>
      <c r="D19" s="60">
        <v>1004.46</v>
      </c>
      <c r="E19" s="60">
        <v>1174.4000000000001</v>
      </c>
      <c r="F19" s="60">
        <v>1344.82</v>
      </c>
      <c r="G19" s="60">
        <v>1515.47</v>
      </c>
      <c r="H19" s="60">
        <v>1686.92</v>
      </c>
      <c r="I19" s="60">
        <v>1858.55</v>
      </c>
      <c r="J19" s="60">
        <v>2030.3</v>
      </c>
      <c r="K19" s="60">
        <v>2201.7800000000002</v>
      </c>
      <c r="L19" s="60">
        <v>2371.6</v>
      </c>
      <c r="M19" s="24">
        <v>2440.58</v>
      </c>
      <c r="N19" s="60">
        <v>2539.46</v>
      </c>
      <c r="O19" s="60">
        <v>2705.07</v>
      </c>
    </row>
    <row r="20" spans="1:15" ht="18" x14ac:dyDescent="0.4">
      <c r="A20" s="3" t="s">
        <v>26</v>
      </c>
      <c r="B20" s="2" t="s">
        <v>1</v>
      </c>
      <c r="C20" s="59">
        <v>122.2897</v>
      </c>
      <c r="D20" s="59">
        <v>122.2694</v>
      </c>
      <c r="E20" s="59">
        <v>122.252</v>
      </c>
      <c r="F20" s="59">
        <v>122.2355</v>
      </c>
      <c r="G20" s="59">
        <v>122.22029999999999</v>
      </c>
      <c r="H20" s="59">
        <v>122.2063</v>
      </c>
      <c r="I20" s="59">
        <v>122.1926</v>
      </c>
      <c r="J20" s="59">
        <v>122.1794</v>
      </c>
      <c r="K20" s="59">
        <v>122.1665</v>
      </c>
      <c r="L20" s="59">
        <v>122.15389999999999</v>
      </c>
      <c r="M20" s="24">
        <v>122.1481</v>
      </c>
      <c r="N20" s="59">
        <v>122.1405</v>
      </c>
      <c r="O20" s="59">
        <v>122.12269999999999</v>
      </c>
    </row>
    <row r="21" spans="1:15" x14ac:dyDescent="0.3">
      <c r="A21" s="3" t="s">
        <v>72</v>
      </c>
      <c r="B21" s="2" t="s">
        <v>5</v>
      </c>
      <c r="C21" s="59">
        <f>0.02761735+0.0002544766</f>
        <v>2.78718266E-2</v>
      </c>
      <c r="D21">
        <f>0.03275615+0.000301795</f>
        <v>3.3057944999999998E-2</v>
      </c>
      <c r="E21">
        <f>0.03777035+0.0003479693</f>
        <v>3.8118319300000002E-2</v>
      </c>
      <c r="F21">
        <f>0.04266338+0.0003930353</f>
        <v>4.3056415299999998E-2</v>
      </c>
      <c r="G21">
        <f>0.04751077+0.0004377421</f>
        <v>4.79485121E-2</v>
      </c>
      <c r="H21">
        <f>0.05215843+0.0004805555</f>
        <v>5.2638985499999999E-2</v>
      </c>
      <c r="I21">
        <f>0.05676353+0.0005230379</f>
        <v>5.7286567900000002E-2</v>
      </c>
      <c r="J21">
        <f>0.06137434+0.0005656757</f>
        <v>6.1940015699999997E-2</v>
      </c>
      <c r="K21">
        <f>0.06622458+0.0006108114</f>
        <v>6.6835391399999999E-2</v>
      </c>
      <c r="L21">
        <f>0.07193499+0.0006646706</f>
        <v>7.2599660600000004E-2</v>
      </c>
      <c r="M21" s="24">
        <f>0.07454524+0.0006894994</f>
        <v>7.52347394E-2</v>
      </c>
      <c r="N21">
        <f>0.07863152+0.0007286264</f>
        <v>7.9360146399999998E-2</v>
      </c>
      <c r="O21">
        <f>0.08666206+0.0008066765</f>
        <v>8.7468736500000005E-2</v>
      </c>
    </row>
    <row r="22" spans="1:15" x14ac:dyDescent="0.3">
      <c r="A22" s="3" t="s">
        <v>73</v>
      </c>
      <c r="B22" s="2" t="s">
        <v>5</v>
      </c>
      <c r="C22" s="59">
        <f>C21+C15</f>
        <v>0.14483878020000002</v>
      </c>
      <c r="D22" s="59">
        <f t="shared" ref="D22:O22" si="2">D21+D15</f>
        <v>0.2034595548</v>
      </c>
      <c r="E22" s="59">
        <f t="shared" si="2"/>
        <v>0.27321811829999998</v>
      </c>
      <c r="F22" s="59">
        <f t="shared" si="2"/>
        <v>0.35482473029999995</v>
      </c>
      <c r="G22" s="59">
        <f t="shared" si="2"/>
        <v>0.4496742541</v>
      </c>
      <c r="H22" s="59">
        <f t="shared" si="2"/>
        <v>0.55966870950000003</v>
      </c>
      <c r="I22" s="59">
        <f t="shared" si="2"/>
        <v>0.68911327189999994</v>
      </c>
      <c r="J22" s="59">
        <f t="shared" si="2"/>
        <v>0.84436510669999998</v>
      </c>
      <c r="K22" s="59">
        <f t="shared" si="2"/>
        <v>1.0381341933999999</v>
      </c>
      <c r="L22" s="59">
        <f t="shared" si="2"/>
        <v>1.2976412125999999</v>
      </c>
      <c r="M22" s="24">
        <f t="shared" si="2"/>
        <v>1.4366637333999999</v>
      </c>
      <c r="N22" s="59">
        <f t="shared" si="2"/>
        <v>1.6978364144</v>
      </c>
      <c r="O22" s="59">
        <f t="shared" si="2"/>
        <v>2.6301727955</v>
      </c>
    </row>
    <row r="23" spans="1:15" x14ac:dyDescent="0.3">
      <c r="A23" s="3" t="s">
        <v>74</v>
      </c>
      <c r="B23" s="2" t="s">
        <v>52</v>
      </c>
      <c r="C23" s="59">
        <f>C22/C11*1000</f>
        <v>0.54828781718740072</v>
      </c>
      <c r="D23" s="59">
        <f t="shared" ref="D23:O23" si="3">D22/D11*1000</f>
        <v>0.6444634331294079</v>
      </c>
      <c r="E23" s="59">
        <f t="shared" si="3"/>
        <v>0.7453565437937496</v>
      </c>
      <c r="F23" s="59">
        <f t="shared" si="3"/>
        <v>0.85144073816782606</v>
      </c>
      <c r="G23" s="59">
        <f t="shared" si="3"/>
        <v>0.96449120894323503</v>
      </c>
      <c r="H23" s="59">
        <f t="shared" si="3"/>
        <v>1.0866199444447358</v>
      </c>
      <c r="I23" s="59">
        <f t="shared" si="3"/>
        <v>1.2234765771154452</v>
      </c>
      <c r="J23" s="59">
        <f t="shared" si="3"/>
        <v>1.3825161568195707</v>
      </c>
      <c r="K23" s="59">
        <f t="shared" si="3"/>
        <v>1.5788714587586077</v>
      </c>
      <c r="L23" s="59">
        <f t="shared" si="3"/>
        <v>1.8447552067969448</v>
      </c>
      <c r="M23" s="24">
        <f t="shared" si="3"/>
        <v>1.9900365914454383</v>
      </c>
      <c r="N23" s="59">
        <f t="shared" si="3"/>
        <v>2.2695007250938066</v>
      </c>
      <c r="O23" s="59">
        <f t="shared" si="3"/>
        <v>3.3304801926689169</v>
      </c>
    </row>
    <row r="24" spans="1:15" x14ac:dyDescent="0.3">
      <c r="A24" s="3" t="s">
        <v>34</v>
      </c>
      <c r="B24" s="2" t="s">
        <v>28</v>
      </c>
      <c r="C24" s="59">
        <f>C19/C11</f>
        <v>3.1608884729881561</v>
      </c>
      <c r="D24" s="59">
        <f t="shared" ref="D24:O24" si="4">D19/D11</f>
        <v>3.1816531825084144</v>
      </c>
      <c r="E24" s="59">
        <f t="shared" si="4"/>
        <v>3.2038384953307824</v>
      </c>
      <c r="F24" s="59">
        <f t="shared" si="4"/>
        <v>3.2270426374586214</v>
      </c>
      <c r="G24" s="59">
        <f t="shared" si="4"/>
        <v>3.2504807181870734</v>
      </c>
      <c r="H24" s="59">
        <f t="shared" si="4"/>
        <v>3.2752249421275059</v>
      </c>
      <c r="I24" s="59">
        <f t="shared" si="4"/>
        <v>3.2997367560900566</v>
      </c>
      <c r="J24" s="59">
        <f t="shared" si="4"/>
        <v>3.3242995606023595</v>
      </c>
      <c r="K24" s="59">
        <f t="shared" si="4"/>
        <v>3.3486302855319545</v>
      </c>
      <c r="L24" s="59">
        <f t="shared" si="4"/>
        <v>3.3715185722821537</v>
      </c>
      <c r="M24" s="24">
        <f t="shared" si="4"/>
        <v>3.3806404320207419</v>
      </c>
      <c r="N24" s="59">
        <f t="shared" si="4"/>
        <v>3.3945003549611217</v>
      </c>
      <c r="O24" s="59">
        <f t="shared" si="4"/>
        <v>3.4253194581728037</v>
      </c>
    </row>
    <row r="25" spans="1:15" ht="15.6" customHeight="1" x14ac:dyDescent="0.3">
      <c r="A25" s="143" t="s">
        <v>27</v>
      </c>
      <c r="B25" s="12" t="s">
        <v>36</v>
      </c>
    </row>
    <row r="26" spans="1:15" x14ac:dyDescent="0.3">
      <c r="A26" s="144"/>
      <c r="B26" s="2" t="s">
        <v>11</v>
      </c>
      <c r="C26" s="59">
        <v>0.86125479999999999</v>
      </c>
      <c r="D26" s="59">
        <v>0.86130669999999998</v>
      </c>
      <c r="E26" s="59">
        <v>0.86135280000000003</v>
      </c>
      <c r="F26" s="59">
        <v>0.86138669999999995</v>
      </c>
      <c r="G26" s="59">
        <v>0.86131979999999997</v>
      </c>
      <c r="H26" s="59">
        <v>0.8613421</v>
      </c>
      <c r="I26" s="59">
        <v>0.861286</v>
      </c>
      <c r="J26" s="59">
        <v>0.86111519999999997</v>
      </c>
      <c r="K26" s="59">
        <v>0.86064640000000003</v>
      </c>
      <c r="L26" s="59">
        <v>0.85942640000000003</v>
      </c>
      <c r="M26" s="24">
        <v>0.85872029999999999</v>
      </c>
      <c r="N26" s="59">
        <v>0.85745669999999996</v>
      </c>
      <c r="O26" s="59">
        <v>0.85436780000000001</v>
      </c>
    </row>
    <row r="27" spans="1:15" x14ac:dyDescent="0.3">
      <c r="A27" s="144"/>
      <c r="B27" s="2" t="s">
        <v>12</v>
      </c>
      <c r="C27" s="59">
        <v>2.3074020000000001E-3</v>
      </c>
      <c r="D27" s="59">
        <v>2.1806989999999999E-3</v>
      </c>
      <c r="E27" s="59">
        <v>2.0528450000000002E-3</v>
      </c>
      <c r="F27" s="59">
        <v>1.931227E-3</v>
      </c>
      <c r="G27" s="59">
        <v>1.8185790000000001E-3</v>
      </c>
      <c r="H27" s="59">
        <v>1.715404E-3</v>
      </c>
      <c r="I27" s="59">
        <v>1.622126E-3</v>
      </c>
      <c r="J27" s="59">
        <v>1.536309E-3</v>
      </c>
      <c r="K27" s="59">
        <v>1.45684E-3</v>
      </c>
      <c r="L27" s="59">
        <v>1.380917E-3</v>
      </c>
      <c r="M27" s="24">
        <v>1.350221E-3</v>
      </c>
      <c r="N27" s="59">
        <v>1.3049909999999999E-3</v>
      </c>
      <c r="O27" s="59">
        <v>1.212966E-3</v>
      </c>
    </row>
    <row r="28" spans="1:15" x14ac:dyDescent="0.3">
      <c r="A28" s="144"/>
      <c r="B28" s="2" t="s">
        <v>13</v>
      </c>
      <c r="C28" s="59">
        <v>1.301645E-4</v>
      </c>
      <c r="D28" s="59">
        <v>1.275626E-4</v>
      </c>
      <c r="E28" s="59">
        <v>1.2484249999999999E-4</v>
      </c>
      <c r="F28" s="59">
        <v>1.22197E-4</v>
      </c>
      <c r="G28" s="59">
        <v>1.197016E-4</v>
      </c>
      <c r="H28" s="59">
        <v>1.1739650000000001E-4</v>
      </c>
      <c r="I28" s="59">
        <v>1.152946E-4</v>
      </c>
      <c r="J28" s="59">
        <v>1.133408E-4</v>
      </c>
      <c r="K28" s="59">
        <v>1.115058E-4</v>
      </c>
      <c r="L28" s="59">
        <v>1.096917E-4</v>
      </c>
      <c r="M28" s="24">
        <v>1.089443E-4</v>
      </c>
      <c r="N28" s="59">
        <v>1.078267E-4</v>
      </c>
      <c r="O28" s="59">
        <v>1.055434E-4</v>
      </c>
    </row>
    <row r="29" spans="1:15" x14ac:dyDescent="0.3">
      <c r="A29" s="144"/>
      <c r="B29" s="2" t="s">
        <v>14</v>
      </c>
      <c r="C29" s="67">
        <v>2.2759740000000001E-5</v>
      </c>
      <c r="D29" s="67">
        <v>2.2302749999999999E-5</v>
      </c>
      <c r="E29" s="67">
        <v>2.1820780000000002E-5</v>
      </c>
      <c r="F29" s="67">
        <v>2.134762E-5</v>
      </c>
      <c r="G29" s="67">
        <v>2.08969E-5</v>
      </c>
      <c r="H29" s="67">
        <v>2.0476059999999999E-5</v>
      </c>
      <c r="I29" s="67">
        <v>2.0088140000000001E-5</v>
      </c>
      <c r="J29" s="67">
        <v>1.9723530000000001E-5</v>
      </c>
      <c r="K29" s="67">
        <v>1.9377359999999999E-5</v>
      </c>
      <c r="L29" s="67">
        <v>1.9032210000000001E-5</v>
      </c>
      <c r="M29" s="93">
        <v>1.8889059999999999E-5</v>
      </c>
      <c r="N29" s="67">
        <v>1.8673950000000001E-5</v>
      </c>
      <c r="O29" s="67">
        <v>1.822869E-5</v>
      </c>
    </row>
    <row r="30" spans="1:15" x14ac:dyDescent="0.3">
      <c r="A30" s="144"/>
      <c r="B30" s="2" t="s">
        <v>15</v>
      </c>
      <c r="C30" s="59">
        <v>0.136157</v>
      </c>
      <c r="D30" s="59">
        <v>0.13623569999999999</v>
      </c>
      <c r="E30" s="59">
        <v>0.1363212</v>
      </c>
      <c r="F30" s="59">
        <v>0.13641259999999999</v>
      </c>
      <c r="G30" s="59">
        <v>0.13659540000000001</v>
      </c>
      <c r="H30" s="59">
        <v>0.13667950000000001</v>
      </c>
      <c r="I30" s="59">
        <v>0.1368316</v>
      </c>
      <c r="J30" s="59">
        <v>0.13709080000000001</v>
      </c>
      <c r="K30" s="59">
        <v>0.1376406</v>
      </c>
      <c r="L30" s="59">
        <v>0.13893630000000001</v>
      </c>
      <c r="M30" s="24">
        <v>0.13967309999999999</v>
      </c>
      <c r="N30" s="59">
        <v>0.14098069999999999</v>
      </c>
      <c r="O30" s="59">
        <v>0.14415849999999999</v>
      </c>
    </row>
    <row r="31" spans="1:15" x14ac:dyDescent="0.3">
      <c r="A31" s="144"/>
      <c r="B31" s="2" t="s">
        <v>0</v>
      </c>
      <c r="C31" s="59">
        <v>1.2667089999999999E-4</v>
      </c>
      <c r="D31" s="59">
        <v>1.2592929999999999E-4</v>
      </c>
      <c r="E31" s="59">
        <v>1.253107E-4</v>
      </c>
      <c r="F31" s="59">
        <v>1.2477500000000001E-4</v>
      </c>
      <c r="G31" s="59">
        <v>1.2447590000000001E-4</v>
      </c>
      <c r="H31" s="59">
        <v>1.2399850000000001E-4</v>
      </c>
      <c r="I31" s="59">
        <v>1.236969E-4</v>
      </c>
      <c r="J31" s="59">
        <v>1.2363200000000001E-4</v>
      </c>
      <c r="K31" s="59">
        <v>1.241743E-4</v>
      </c>
      <c r="L31" s="59">
        <v>1.2625630000000001E-4</v>
      </c>
      <c r="M31" s="24">
        <v>1.2753659999999999E-4</v>
      </c>
      <c r="N31" s="59">
        <v>1.2987780000000001E-4</v>
      </c>
      <c r="O31" s="59">
        <v>1.3570530000000001E-4</v>
      </c>
    </row>
    <row r="32" spans="1:15" s="59" customFormat="1" x14ac:dyDescent="0.3">
      <c r="A32" s="145"/>
      <c r="B32" s="2" t="s">
        <v>55</v>
      </c>
      <c r="C32" s="67">
        <v>1.167193E-6</v>
      </c>
      <c r="D32" s="67">
        <v>1.160235E-6</v>
      </c>
      <c r="E32" s="67">
        <v>1.154458E-6</v>
      </c>
      <c r="F32" s="67">
        <v>1.149487E-6</v>
      </c>
      <c r="G32" s="67">
        <v>1.146863E-6</v>
      </c>
      <c r="H32" s="67">
        <v>1.142445E-6</v>
      </c>
      <c r="I32" s="67">
        <v>1.1397840000000001E-6</v>
      </c>
      <c r="J32" s="67">
        <v>1.1394930000000001E-6</v>
      </c>
      <c r="K32" s="67">
        <v>1.1453010000000001E-6</v>
      </c>
      <c r="L32" s="67">
        <v>1.166593E-6</v>
      </c>
      <c r="M32" s="93">
        <v>1.1796380000000001E-6</v>
      </c>
      <c r="N32" s="67">
        <v>1.203492E-6</v>
      </c>
      <c r="O32" s="67">
        <v>1.263185E-6</v>
      </c>
    </row>
    <row r="33" spans="1:15" ht="15.6" customHeight="1" x14ac:dyDescent="0.3">
      <c r="A33" s="146" t="s">
        <v>27</v>
      </c>
      <c r="B33" s="12" t="s">
        <v>35</v>
      </c>
      <c r="C33" s="59"/>
    </row>
    <row r="34" spans="1:15" x14ac:dyDescent="0.3">
      <c r="A34" s="147"/>
      <c r="B34" s="2" t="s">
        <v>11</v>
      </c>
      <c r="C34" s="59">
        <v>0.72023669999999995</v>
      </c>
      <c r="D34" s="59">
        <v>0.72018859999999996</v>
      </c>
      <c r="E34" s="59">
        <v>0.72012980000000004</v>
      </c>
      <c r="F34" s="59">
        <v>0.72005680000000005</v>
      </c>
      <c r="G34" s="59">
        <v>0.71982179999999996</v>
      </c>
      <c r="H34" s="59">
        <v>0.71974879999999997</v>
      </c>
      <c r="I34" s="59">
        <v>0.71955309999999995</v>
      </c>
      <c r="J34" s="59">
        <v>0.71917019999999998</v>
      </c>
      <c r="K34" s="59">
        <v>0.71828879999999995</v>
      </c>
      <c r="L34" s="59">
        <v>0.71614</v>
      </c>
      <c r="M34" s="24">
        <v>0.71491289999999996</v>
      </c>
      <c r="N34" s="59">
        <v>0.71273379999999997</v>
      </c>
      <c r="O34" s="59">
        <v>0.70745469999999999</v>
      </c>
    </row>
    <row r="35" spans="1:15" x14ac:dyDescent="0.3">
      <c r="A35" s="147"/>
      <c r="B35" s="2" t="s">
        <v>12</v>
      </c>
      <c r="C35" s="59">
        <v>1.3255540000000001E-3</v>
      </c>
      <c r="D35" s="59">
        <v>1.252607E-3</v>
      </c>
      <c r="E35" s="59">
        <v>1.1790069999999999E-3</v>
      </c>
      <c r="F35" s="59">
        <v>1.109002E-3</v>
      </c>
      <c r="G35" s="59">
        <v>1.0440549999999999E-3</v>
      </c>
      <c r="H35" s="59">
        <v>9.846961E-4</v>
      </c>
      <c r="I35" s="59">
        <v>9.3095920000000004E-4</v>
      </c>
      <c r="J35" s="59">
        <v>8.8141330000000005E-4</v>
      </c>
      <c r="K35" s="59">
        <v>8.3525030000000005E-4</v>
      </c>
      <c r="L35" s="59">
        <v>7.9047329999999997E-4</v>
      </c>
      <c r="M35" s="24">
        <v>7.7221229999999998E-4</v>
      </c>
      <c r="N35" s="59">
        <v>7.4516619999999997E-4</v>
      </c>
      <c r="O35" s="59">
        <v>6.8997429999999998E-4</v>
      </c>
    </row>
    <row r="36" spans="1:15" x14ac:dyDescent="0.3">
      <c r="A36" s="147"/>
      <c r="B36" s="2" t="s">
        <v>13</v>
      </c>
      <c r="C36" s="59">
        <v>1.710064E-4</v>
      </c>
      <c r="D36" s="59">
        <v>1.6756679999999999E-4</v>
      </c>
      <c r="E36" s="59">
        <v>1.6397149999999999E-4</v>
      </c>
      <c r="F36" s="59">
        <v>1.6047420000000001E-4</v>
      </c>
      <c r="G36" s="59">
        <v>1.571581E-4</v>
      </c>
      <c r="H36" s="59">
        <v>1.5411210000000001E-4</v>
      </c>
      <c r="I36" s="59">
        <v>1.513215E-4</v>
      </c>
      <c r="J36" s="59">
        <v>1.487076E-4</v>
      </c>
      <c r="K36" s="59">
        <v>1.4620019999999999E-4</v>
      </c>
      <c r="L36" s="59">
        <v>1.4359489999999999E-4</v>
      </c>
      <c r="M36" s="24">
        <v>1.424893E-4</v>
      </c>
      <c r="N36" s="59">
        <v>1.408049E-4</v>
      </c>
      <c r="O36" s="59">
        <v>1.3729700000000001E-4</v>
      </c>
    </row>
    <row r="37" spans="1:15" x14ac:dyDescent="0.3">
      <c r="A37" s="147"/>
      <c r="B37" s="2" t="s">
        <v>14</v>
      </c>
      <c r="C37" s="67">
        <v>2.6177359999999998E-5</v>
      </c>
      <c r="D37" s="67">
        <v>2.5648489999999999E-5</v>
      </c>
      <c r="E37" s="67">
        <v>2.5090819999999998E-5</v>
      </c>
      <c r="F37" s="67">
        <v>2.4543299999999999E-5</v>
      </c>
      <c r="G37" s="67">
        <v>2.4019130000000001E-5</v>
      </c>
      <c r="H37" s="67">
        <v>2.353242E-5</v>
      </c>
      <c r="I37" s="67">
        <v>2.3081820000000001E-5</v>
      </c>
      <c r="J37" s="67">
        <v>2.265531E-5</v>
      </c>
      <c r="K37" s="67">
        <v>2.224251E-5</v>
      </c>
      <c r="L37" s="67">
        <v>2.181189E-5</v>
      </c>
      <c r="M37" s="93">
        <v>2.1628509999999999E-5</v>
      </c>
      <c r="N37" s="67">
        <v>2.1348450000000001E-5</v>
      </c>
      <c r="O37" s="67">
        <v>2.0759850000000001E-5</v>
      </c>
    </row>
    <row r="38" spans="1:15" x14ac:dyDescent="0.3">
      <c r="A38" s="147"/>
      <c r="B38" s="2" t="s">
        <v>15</v>
      </c>
      <c r="C38" s="59">
        <v>0.27816390000000002</v>
      </c>
      <c r="D38" s="59">
        <v>0.27828930000000002</v>
      </c>
      <c r="E38" s="59">
        <v>0.27842620000000001</v>
      </c>
      <c r="F38" s="59">
        <v>0.27857369999999998</v>
      </c>
      <c r="G38" s="59">
        <v>0.27887770000000001</v>
      </c>
      <c r="H38" s="59">
        <v>0.27901389999999998</v>
      </c>
      <c r="I38" s="59">
        <v>0.27926659999999998</v>
      </c>
      <c r="J38" s="59">
        <v>0.27970220000000001</v>
      </c>
      <c r="K38" s="59">
        <v>0.28063250000000001</v>
      </c>
      <c r="L38" s="59">
        <v>0.28282780000000002</v>
      </c>
      <c r="M38" s="24">
        <v>0.28407389999999999</v>
      </c>
      <c r="N38" s="59">
        <v>0.2862806</v>
      </c>
      <c r="O38" s="59">
        <v>0.29161579999999998</v>
      </c>
    </row>
    <row r="39" spans="1:15" x14ac:dyDescent="0.3">
      <c r="A39" s="147"/>
      <c r="B39" s="2" t="s">
        <v>0</v>
      </c>
      <c r="C39" s="67">
        <v>7.6321040000000006E-5</v>
      </c>
      <c r="D39" s="67">
        <v>7.5864590000000005E-5</v>
      </c>
      <c r="E39" s="67">
        <v>7.5481730000000001E-5</v>
      </c>
      <c r="F39" s="67">
        <v>7.5148479999999999E-5</v>
      </c>
      <c r="G39" s="67">
        <v>7.4949679999999997E-5</v>
      </c>
      <c r="H39" s="67">
        <v>7.4652709999999998E-5</v>
      </c>
      <c r="I39" s="67">
        <v>7.445571E-5</v>
      </c>
      <c r="J39" s="67">
        <v>7.4391810000000002E-5</v>
      </c>
      <c r="K39" s="67">
        <v>7.4667199999999996E-5</v>
      </c>
      <c r="L39" s="67">
        <v>7.5799460000000002E-5</v>
      </c>
      <c r="M39" s="93">
        <v>7.6499749999999999E-5</v>
      </c>
      <c r="N39" s="67">
        <v>7.7781079999999998E-5</v>
      </c>
      <c r="O39" s="67">
        <v>8.0960739999999995E-5</v>
      </c>
    </row>
    <row r="40" spans="1:15" s="59" customFormat="1" x14ac:dyDescent="0.3">
      <c r="A40" s="147"/>
      <c r="B40" s="11" t="s">
        <v>55</v>
      </c>
      <c r="C40" s="67">
        <v>4.0858459999999998E-7</v>
      </c>
      <c r="D40" s="67">
        <v>4.0609730000000002E-7</v>
      </c>
      <c r="E40" s="67">
        <v>4.0402059999999999E-7</v>
      </c>
      <c r="F40" s="67">
        <v>4.0222439999999998E-7</v>
      </c>
      <c r="G40" s="67">
        <v>4.0120649999999999E-7</v>
      </c>
      <c r="H40" s="67">
        <v>3.9961000000000002E-7</v>
      </c>
      <c r="I40" s="67">
        <v>3.9859669999999998E-7</v>
      </c>
      <c r="J40" s="67">
        <v>3.9836189999999999E-7</v>
      </c>
      <c r="K40" s="67">
        <v>4.001195E-7</v>
      </c>
      <c r="L40" s="67">
        <v>4.0691560000000002E-7</v>
      </c>
      <c r="M40" s="93">
        <v>4.1109849999999998E-7</v>
      </c>
      <c r="N40" s="67">
        <v>4.1874930000000002E-7</v>
      </c>
      <c r="O40" s="67">
        <v>4.3784099999999998E-7</v>
      </c>
    </row>
  </sheetData>
  <mergeCells count="2">
    <mergeCell ref="A25:A32"/>
    <mergeCell ref="A33:A40"/>
  </mergeCells>
  <pageMargins left="0.7" right="0.7" top="0.75" bottom="0.75" header="0.3" footer="0.3"/>
  <pageSetup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0"/>
  <sheetViews>
    <sheetView topLeftCell="C8" zoomScale="80" zoomScaleNormal="80" workbookViewId="0">
      <selection activeCell="I58" sqref="I58"/>
    </sheetView>
  </sheetViews>
  <sheetFormatPr defaultRowHeight="15.6" x14ac:dyDescent="0.3"/>
  <cols>
    <col min="1" max="1" width="64.796875" customWidth="1"/>
    <col min="2" max="2" width="24.19921875" customWidth="1"/>
    <col min="14" max="14" width="8.796875" style="24"/>
  </cols>
  <sheetData>
    <row r="1" spans="1:16" x14ac:dyDescent="0.3">
      <c r="A1" s="61" t="s">
        <v>75</v>
      </c>
      <c r="B1" s="62" t="s">
        <v>8</v>
      </c>
      <c r="C1" s="70" t="s">
        <v>81</v>
      </c>
      <c r="D1" s="1"/>
      <c r="E1" s="1"/>
      <c r="F1" s="1"/>
      <c r="G1" s="1"/>
      <c r="H1" s="1"/>
      <c r="I1" s="1"/>
      <c r="J1" s="1"/>
      <c r="K1" s="1"/>
      <c r="L1" s="1"/>
      <c r="M1" s="1"/>
      <c r="N1" s="32"/>
      <c r="O1" s="1"/>
      <c r="P1" s="1"/>
    </row>
    <row r="2" spans="1:16" x14ac:dyDescent="0.3">
      <c r="A2" s="3" t="s">
        <v>17</v>
      </c>
      <c r="B2" s="2" t="s">
        <v>1</v>
      </c>
      <c r="C2" s="58">
        <v>40</v>
      </c>
      <c r="D2" s="58">
        <v>40</v>
      </c>
      <c r="E2" s="58">
        <v>40</v>
      </c>
      <c r="F2" s="58">
        <v>40</v>
      </c>
      <c r="G2" s="58">
        <v>40</v>
      </c>
      <c r="H2" s="58">
        <v>40</v>
      </c>
      <c r="I2" s="58">
        <v>40</v>
      </c>
      <c r="J2" s="58">
        <v>40</v>
      </c>
      <c r="K2" s="58">
        <v>40</v>
      </c>
      <c r="L2" s="58">
        <v>40</v>
      </c>
      <c r="M2" s="58">
        <v>40</v>
      </c>
      <c r="N2" s="85">
        <v>40</v>
      </c>
      <c r="O2" s="58">
        <v>40</v>
      </c>
      <c r="P2" s="58">
        <v>40</v>
      </c>
    </row>
    <row r="3" spans="1:16" x14ac:dyDescent="0.3">
      <c r="A3" s="3" t="s">
        <v>16</v>
      </c>
      <c r="B3" s="2" t="s">
        <v>2</v>
      </c>
      <c r="C3" s="58">
        <v>1.0129999999999999</v>
      </c>
      <c r="D3" s="58">
        <v>1.0129999999999999</v>
      </c>
      <c r="E3" s="58">
        <v>1.0129999999999999</v>
      </c>
      <c r="F3" s="58">
        <v>1.0129999999999999</v>
      </c>
      <c r="G3" s="58">
        <v>1.0129999999999999</v>
      </c>
      <c r="H3" s="58">
        <v>1.0129999999999999</v>
      </c>
      <c r="I3" s="58">
        <v>1.0129999999999999</v>
      </c>
      <c r="J3" s="58">
        <v>1.0129999999999999</v>
      </c>
      <c r="K3" s="58">
        <v>1.0129999999999999</v>
      </c>
      <c r="L3" s="58">
        <v>1.0129999999999999</v>
      </c>
      <c r="M3" s="58">
        <v>1.0129999999999999</v>
      </c>
      <c r="N3" s="85">
        <v>1.0129999999999999</v>
      </c>
      <c r="O3" s="58">
        <v>1.0129999999999999</v>
      </c>
      <c r="P3" s="58">
        <v>1.0129999999999999</v>
      </c>
    </row>
    <row r="4" spans="1:16" x14ac:dyDescent="0.3">
      <c r="A4" s="3" t="s">
        <v>3</v>
      </c>
      <c r="B4" s="2" t="s">
        <v>1</v>
      </c>
      <c r="C4" s="58">
        <v>40</v>
      </c>
      <c r="D4" s="58">
        <v>40</v>
      </c>
      <c r="E4" s="58">
        <v>40</v>
      </c>
      <c r="F4" s="58">
        <v>40</v>
      </c>
      <c r="G4" s="58">
        <v>40</v>
      </c>
      <c r="H4" s="58">
        <v>40</v>
      </c>
      <c r="I4" s="58">
        <v>40</v>
      </c>
      <c r="J4" s="58">
        <v>40</v>
      </c>
      <c r="K4" s="58">
        <v>40</v>
      </c>
      <c r="L4" s="58">
        <v>40</v>
      </c>
      <c r="M4" s="58">
        <v>40</v>
      </c>
      <c r="N4" s="85">
        <v>40</v>
      </c>
      <c r="O4" s="58">
        <v>40</v>
      </c>
      <c r="P4" s="58">
        <v>40</v>
      </c>
    </row>
    <row r="5" spans="1:16" x14ac:dyDescent="0.3">
      <c r="A5" s="3" t="s">
        <v>18</v>
      </c>
      <c r="B5" s="2" t="s">
        <v>2</v>
      </c>
      <c r="C5" s="58">
        <v>1.0129999999999999</v>
      </c>
      <c r="D5" s="58">
        <v>1.0129999999999999</v>
      </c>
      <c r="E5" s="58">
        <v>1.0129999999999999</v>
      </c>
      <c r="F5" s="58">
        <v>1.0129999999999999</v>
      </c>
      <c r="G5" s="58">
        <v>1.0129999999999999</v>
      </c>
      <c r="H5" s="58">
        <v>1.0129999999999999</v>
      </c>
      <c r="I5" s="58">
        <v>1.0129999999999999</v>
      </c>
      <c r="J5" s="58">
        <v>1.0129999999999999</v>
      </c>
      <c r="K5" s="58">
        <v>1.0129999999999999</v>
      </c>
      <c r="L5" s="58">
        <v>1.0129999999999999</v>
      </c>
      <c r="M5" s="58">
        <v>1.0129999999999999</v>
      </c>
      <c r="N5" s="85">
        <v>1.0129999999999999</v>
      </c>
      <c r="O5" s="58">
        <v>1.0129999999999999</v>
      </c>
      <c r="P5" s="58">
        <v>1.0129999999999999</v>
      </c>
    </row>
    <row r="6" spans="1:16" x14ac:dyDescent="0.3">
      <c r="A6" s="3" t="s">
        <v>4</v>
      </c>
      <c r="B6" s="2" t="s">
        <v>5</v>
      </c>
      <c r="C6" s="77">
        <f>'MEA 30%'!$C$6</f>
        <v>5050.3680000000004</v>
      </c>
      <c r="D6" s="77">
        <f>'MEA 30%'!$C$6</f>
        <v>5050.3680000000004</v>
      </c>
      <c r="E6" s="77">
        <f>'MEA 30%'!$C$6</f>
        <v>5050.3680000000004</v>
      </c>
      <c r="F6" s="77">
        <f>'MEA 30%'!$C$6</f>
        <v>5050.3680000000004</v>
      </c>
      <c r="G6" s="77">
        <f>'MEA 30%'!$C$6</f>
        <v>5050.3680000000004</v>
      </c>
      <c r="H6" s="77">
        <f>'MEA 30%'!$C$6</f>
        <v>5050.3680000000004</v>
      </c>
      <c r="I6" s="77">
        <f>'MEA 30%'!$C$6</f>
        <v>5050.3680000000004</v>
      </c>
      <c r="J6" s="77">
        <f>'MEA 30%'!$C$6</f>
        <v>5050.3680000000004</v>
      </c>
      <c r="K6" s="77">
        <f>'MEA 30%'!$C$6</f>
        <v>5050.3680000000004</v>
      </c>
      <c r="L6" s="77">
        <f>'MEA 30%'!$C$6</f>
        <v>5050.3680000000004</v>
      </c>
      <c r="M6" s="77">
        <f>'MEA 30%'!$C$6</f>
        <v>5050.3680000000004</v>
      </c>
      <c r="N6" s="86">
        <f>'MEA 30%'!$C$6</f>
        <v>5050.3680000000004</v>
      </c>
      <c r="O6" s="77">
        <f>'MEA 30%'!$C$6</f>
        <v>5050.3680000000004</v>
      </c>
      <c r="P6" s="77">
        <f>'MEA 30%'!$C$6</f>
        <v>5050.3680000000004</v>
      </c>
    </row>
    <row r="7" spans="1:16" x14ac:dyDescent="0.3">
      <c r="A7" s="6" t="s">
        <v>6</v>
      </c>
      <c r="B7" s="22" t="s">
        <v>5</v>
      </c>
      <c r="C7" s="81">
        <f>C6*C8</f>
        <v>2525.1840000000002</v>
      </c>
      <c r="D7" s="81">
        <f t="shared" ref="D7:P7" si="0">D6*D8</f>
        <v>3030.2208000000001</v>
      </c>
      <c r="E7" s="81">
        <f t="shared" si="0"/>
        <v>3535.2575999999999</v>
      </c>
      <c r="F7" s="81">
        <f t="shared" si="0"/>
        <v>4040.2944000000007</v>
      </c>
      <c r="G7" s="81">
        <f t="shared" si="0"/>
        <v>4545.3312000000005</v>
      </c>
      <c r="H7" s="81">
        <f t="shared" si="0"/>
        <v>5050.3680000000004</v>
      </c>
      <c r="I7" s="81">
        <f t="shared" si="0"/>
        <v>5555.4048000000012</v>
      </c>
      <c r="J7" s="81">
        <f t="shared" si="0"/>
        <v>6060.4416000000001</v>
      </c>
      <c r="K7" s="81">
        <f t="shared" si="0"/>
        <v>6565.4784000000009</v>
      </c>
      <c r="L7" s="81">
        <f t="shared" si="0"/>
        <v>7070.5151999999998</v>
      </c>
      <c r="M7" s="81">
        <f t="shared" si="0"/>
        <v>7575.5520000000006</v>
      </c>
      <c r="N7" s="85">
        <f t="shared" si="0"/>
        <v>8025.5397888000007</v>
      </c>
      <c r="O7" s="81">
        <f t="shared" si="0"/>
        <v>8585.6256000000012</v>
      </c>
      <c r="P7" s="81">
        <f t="shared" si="0"/>
        <v>9090.6624000000011</v>
      </c>
    </row>
    <row r="8" spans="1:16" x14ac:dyDescent="0.3">
      <c r="A8" s="3" t="s">
        <v>7</v>
      </c>
      <c r="B8" s="2" t="s">
        <v>29</v>
      </c>
      <c r="C8" s="78">
        <v>0.5</v>
      </c>
      <c r="D8" s="78">
        <v>0.6</v>
      </c>
      <c r="E8" s="78">
        <v>0.7</v>
      </c>
      <c r="F8" s="78">
        <v>0.8</v>
      </c>
      <c r="G8" s="78">
        <v>0.9</v>
      </c>
      <c r="H8" s="78">
        <v>1</v>
      </c>
      <c r="I8" s="78">
        <v>1.1000000000000001</v>
      </c>
      <c r="J8" s="78">
        <v>1.2</v>
      </c>
      <c r="K8" s="78">
        <v>1.3</v>
      </c>
      <c r="L8" s="78">
        <v>1.4</v>
      </c>
      <c r="M8" s="78">
        <v>1.5</v>
      </c>
      <c r="N8" s="85">
        <v>1.5891</v>
      </c>
      <c r="O8" s="78">
        <v>1.7</v>
      </c>
      <c r="P8" s="78">
        <v>1.8</v>
      </c>
    </row>
    <row r="9" spans="1:16" ht="18" x14ac:dyDescent="0.4">
      <c r="A9" s="3" t="s">
        <v>32</v>
      </c>
      <c r="B9" s="2" t="s">
        <v>5</v>
      </c>
      <c r="C9" s="1">
        <v>802.09379999999999</v>
      </c>
      <c r="D9" s="1">
        <v>802.09379999999999</v>
      </c>
      <c r="E9" s="1">
        <v>802.09379999999999</v>
      </c>
      <c r="F9" s="1">
        <v>802.09379999999999</v>
      </c>
      <c r="G9" s="1">
        <v>802.09379999999999</v>
      </c>
      <c r="H9" s="1">
        <v>802.09379999999999</v>
      </c>
      <c r="I9" s="1">
        <v>802.09379999999999</v>
      </c>
      <c r="J9" s="1">
        <v>802.09379999999999</v>
      </c>
      <c r="K9" s="1">
        <v>802.09379999999999</v>
      </c>
      <c r="L9" s="1">
        <v>802.09379999999999</v>
      </c>
      <c r="M9" s="1">
        <v>802.09379999999999</v>
      </c>
      <c r="N9" s="32">
        <v>802.09379999999999</v>
      </c>
      <c r="O9" s="1">
        <v>802.09379999999999</v>
      </c>
      <c r="P9" s="1">
        <v>802.09379999999999</v>
      </c>
    </row>
    <row r="10" spans="1:16" ht="18" x14ac:dyDescent="0.4">
      <c r="A10" s="3" t="s">
        <v>33</v>
      </c>
      <c r="B10" s="2" t="s">
        <v>5</v>
      </c>
      <c r="C10" s="1">
        <v>555.44579999999996</v>
      </c>
      <c r="D10" s="1">
        <v>507.98110000000003</v>
      </c>
      <c r="E10" s="1">
        <v>461.38279999999997</v>
      </c>
      <c r="F10" s="1">
        <v>415.63380000000001</v>
      </c>
      <c r="G10" s="1">
        <v>370.67630000000003</v>
      </c>
      <c r="H10" s="1">
        <v>326.46710000000002</v>
      </c>
      <c r="I10" s="1">
        <v>282.98649999999998</v>
      </c>
      <c r="J10" s="1">
        <v>240.1679</v>
      </c>
      <c r="K10" s="1">
        <v>197.99700000000001</v>
      </c>
      <c r="L10" s="1">
        <v>156.5258</v>
      </c>
      <c r="M10" s="1">
        <v>115.7658</v>
      </c>
      <c r="N10" s="32">
        <v>80.207030000000003</v>
      </c>
      <c r="O10" s="1">
        <v>37.456629999999997</v>
      </c>
      <c r="P10" s="1">
        <v>4.2243050000000002</v>
      </c>
    </row>
    <row r="11" spans="1:16" x14ac:dyDescent="0.3">
      <c r="A11" s="3" t="s">
        <v>49</v>
      </c>
      <c r="B11" s="2" t="s">
        <v>5</v>
      </c>
      <c r="C11" s="1">
        <v>246.648</v>
      </c>
      <c r="D11" s="1">
        <v>294.11279999999999</v>
      </c>
      <c r="E11" s="1">
        <v>340.71100000000001</v>
      </c>
      <c r="F11" s="1">
        <v>386.46</v>
      </c>
      <c r="G11" s="1">
        <v>431.41739999999999</v>
      </c>
      <c r="H11" s="1">
        <v>475.62670000000003</v>
      </c>
      <c r="I11" s="1">
        <v>519.10720000000003</v>
      </c>
      <c r="J11" s="1">
        <v>561.92589999999996</v>
      </c>
      <c r="K11" s="1">
        <v>604.09659999999997</v>
      </c>
      <c r="L11" s="1">
        <v>645.56809999999996</v>
      </c>
      <c r="M11" s="1">
        <v>686.32809999999995</v>
      </c>
      <c r="N11" s="32">
        <v>721.88679999999999</v>
      </c>
      <c r="O11" s="1">
        <v>764.63720000000001</v>
      </c>
      <c r="P11" s="1">
        <v>797.86950000000002</v>
      </c>
    </row>
    <row r="12" spans="1:16" ht="18" x14ac:dyDescent="0.4">
      <c r="A12" s="3" t="s">
        <v>19</v>
      </c>
      <c r="B12" s="2" t="s">
        <v>8</v>
      </c>
      <c r="C12" s="30">
        <f>(C9-C10)/C9*100</f>
        <v>30.750518206224765</v>
      </c>
      <c r="D12" s="30">
        <f t="shared" ref="D12:P12" si="1">(D9-D10)/D9*100</f>
        <v>36.668117868508645</v>
      </c>
      <c r="E12" s="30">
        <f t="shared" si="1"/>
        <v>42.477700239049348</v>
      </c>
      <c r="F12" s="30">
        <f t="shared" si="1"/>
        <v>48.181397238078638</v>
      </c>
      <c r="G12" s="30">
        <f t="shared" si="1"/>
        <v>53.786415005327306</v>
      </c>
      <c r="H12" s="30">
        <f t="shared" si="1"/>
        <v>59.298139444538776</v>
      </c>
      <c r="I12" s="30">
        <f t="shared" si="1"/>
        <v>64.719026627559032</v>
      </c>
      <c r="J12" s="30">
        <f t="shared" si="1"/>
        <v>70.057379822659144</v>
      </c>
      <c r="K12" s="30">
        <f t="shared" si="1"/>
        <v>75.314981863717193</v>
      </c>
      <c r="L12" s="30">
        <f t="shared" si="1"/>
        <v>80.485349718449385</v>
      </c>
      <c r="M12" s="30">
        <f t="shared" si="1"/>
        <v>85.567049639331458</v>
      </c>
      <c r="N12" s="32">
        <f t="shared" si="1"/>
        <v>90.000292983189752</v>
      </c>
      <c r="O12" s="30">
        <f t="shared" si="1"/>
        <v>95.330143432102332</v>
      </c>
      <c r="P12" s="30">
        <f t="shared" si="1"/>
        <v>99.47334027516483</v>
      </c>
    </row>
    <row r="13" spans="1:16" x14ac:dyDescent="0.3">
      <c r="A13" s="3" t="s">
        <v>20</v>
      </c>
      <c r="B13" s="2" t="s">
        <v>1</v>
      </c>
      <c r="C13" s="1">
        <v>42.646949999999997</v>
      </c>
      <c r="D13" s="1">
        <v>45.231960000000001</v>
      </c>
      <c r="E13" s="1">
        <v>47.399380000000001</v>
      </c>
      <c r="F13" s="1">
        <v>49.245049999999999</v>
      </c>
      <c r="G13" s="1">
        <v>50.837800000000001</v>
      </c>
      <c r="H13" s="1">
        <v>52.226520000000001</v>
      </c>
      <c r="I13" s="1">
        <v>53.446210000000001</v>
      </c>
      <c r="J13" s="1">
        <v>54.523000000000003</v>
      </c>
      <c r="K13" s="1">
        <v>55.475659999999998</v>
      </c>
      <c r="L13" s="1">
        <v>56.314279999999997</v>
      </c>
      <c r="M13" s="1">
        <v>57.041550000000001</v>
      </c>
      <c r="N13" s="32">
        <v>57.585369999999998</v>
      </c>
      <c r="O13" s="1">
        <v>58.05941</v>
      </c>
      <c r="P13" s="1">
        <v>57.789769999999997</v>
      </c>
    </row>
    <row r="14" spans="1:16" ht="18" x14ac:dyDescent="0.4">
      <c r="A14" s="3" t="s">
        <v>21</v>
      </c>
      <c r="B14" s="2" t="s">
        <v>1</v>
      </c>
      <c r="C14" s="1">
        <v>18.965820000000001</v>
      </c>
      <c r="D14" s="1">
        <v>20.306830000000001</v>
      </c>
      <c r="E14" s="1">
        <v>21.730709999999998</v>
      </c>
      <c r="F14" s="1">
        <v>23.171209999999999</v>
      </c>
      <c r="G14" s="1">
        <v>24.59451</v>
      </c>
      <c r="H14" s="1">
        <v>25.981369999999998</v>
      </c>
      <c r="I14" s="1">
        <v>27.323799999999999</v>
      </c>
      <c r="J14" s="1">
        <v>28.624089999999999</v>
      </c>
      <c r="K14" s="1">
        <v>29.88402</v>
      </c>
      <c r="L14" s="1">
        <v>31.1112</v>
      </c>
      <c r="M14" s="1">
        <v>32.325629999999997</v>
      </c>
      <c r="N14" s="32">
        <v>33.418909999999997</v>
      </c>
      <c r="O14" s="1">
        <v>34.894399999999997</v>
      </c>
      <c r="P14" s="1">
        <v>36.960299999999997</v>
      </c>
    </row>
    <row r="15" spans="1:16" x14ac:dyDescent="0.3">
      <c r="A15" s="3" t="s">
        <v>76</v>
      </c>
      <c r="B15" s="2" t="s">
        <v>5</v>
      </c>
      <c r="C15" s="1">
        <f>0.09307857+0.01461167</f>
        <v>0.10769023999999999</v>
      </c>
      <c r="D15" s="1">
        <f>0.1332384+0.01945972</f>
        <v>0.15269811999999999</v>
      </c>
      <c r="E15" s="1">
        <f>0.1808281+0.02460899</f>
        <v>0.20543708999999999</v>
      </c>
      <c r="F15" s="1">
        <f>0.235967+0.0299492</f>
        <v>0.26591619999999999</v>
      </c>
      <c r="G15" s="1">
        <f>0.299097+0.03540069</f>
        <v>0.33449769000000001</v>
      </c>
      <c r="H15" s="1">
        <f>0.3710617+0.04090255</f>
        <v>0.41196424999999998</v>
      </c>
      <c r="I15" s="1">
        <f>0.4532623+0.0464059</f>
        <v>0.49966820000000001</v>
      </c>
      <c r="J15" s="1">
        <f>0.05187386+0.5480724</f>
        <v>0.59994626000000006</v>
      </c>
      <c r="K15" s="1">
        <f>0.6593905+0.05727574</f>
        <v>0.71666624000000001</v>
      </c>
      <c r="L15" s="1">
        <f>0.7941723+0.06257156</f>
        <v>0.85674386000000002</v>
      </c>
      <c r="M15" s="1">
        <f>0.9657356+0.06771041</f>
        <v>1.03344601</v>
      </c>
      <c r="N15" s="32">
        <f>1.17295+0.07207074</f>
        <v>1.24502074</v>
      </c>
      <c r="O15" s="1">
        <f>1.600999+0.07685909</f>
        <v>1.67785809</v>
      </c>
      <c r="P15" s="1">
        <f>2.759441+0.07767614</f>
        <v>2.8371171399999997</v>
      </c>
    </row>
    <row r="16" spans="1:16" ht="18" x14ac:dyDescent="0.4">
      <c r="A16" s="3" t="s">
        <v>22</v>
      </c>
      <c r="B16" s="2" t="s">
        <v>77</v>
      </c>
      <c r="C16" s="1">
        <f>5604.364/(8266.382+2118.96)</f>
        <v>0.53964173736406551</v>
      </c>
      <c r="D16" s="1">
        <f>6682.863/(9919.305+2542.736)</f>
        <v>0.53625750388720428</v>
      </c>
      <c r="E16" s="1">
        <f>7741.673/(11572.11+2966.509)</f>
        <v>0.53249025921925597</v>
      </c>
      <c r="F16" s="1">
        <f>8781.187/(13224.79+3390.28)</f>
        <v>0.5285073731257226</v>
      </c>
      <c r="G16" s="1">
        <f>9802.715/(14877.34+3814.051)</f>
        <v>0.52445080197616112</v>
      </c>
      <c r="H16" s="1">
        <f>10807.24/(16529.75+4237.822)</f>
        <v>0.52039015441959224</v>
      </c>
      <c r="I16" s="1">
        <f>11795.21/(18181.97+4661.591)</f>
        <v>0.51634725426565486</v>
      </c>
      <c r="J16" s="1">
        <f>12768.14/(19834+5085.36)</f>
        <v>0.51237832753329138</v>
      </c>
      <c r="K16" s="1">
        <f>13726.35/(21485.77+5509.133)</f>
        <v>0.50847932292996201</v>
      </c>
      <c r="L16" s="1">
        <f>14668.67/(23137.14+5932.904)</f>
        <v>0.50459744746172375</v>
      </c>
      <c r="M16" s="1">
        <f>15594.82/(24787.91+6356.679)</f>
        <v>0.50072325565124653</v>
      </c>
      <c r="N16" s="32">
        <f>16402.79/(26257.86+6734.262)</f>
        <v>0.49717293116217259</v>
      </c>
      <c r="O16" s="1">
        <f>17374.17/(28084.67+7204.235)</f>
        <v>0.49234086464286719</v>
      </c>
      <c r="P16" s="1">
        <f>18129.28/(29719.29+7628.044)</f>
        <v>0.48542367174053169</v>
      </c>
    </row>
    <row r="17" spans="1:16" ht="18" x14ac:dyDescent="0.4">
      <c r="A17" s="3" t="s">
        <v>23</v>
      </c>
      <c r="B17" s="2" t="s">
        <v>1</v>
      </c>
      <c r="C17" s="1">
        <v>65</v>
      </c>
      <c r="D17" s="1">
        <v>65</v>
      </c>
      <c r="E17" s="1">
        <v>65</v>
      </c>
      <c r="F17" s="1">
        <v>65</v>
      </c>
      <c r="G17" s="1">
        <v>65</v>
      </c>
      <c r="H17" s="1">
        <v>65</v>
      </c>
      <c r="I17" s="1">
        <v>65</v>
      </c>
      <c r="J17" s="1">
        <v>65</v>
      </c>
      <c r="K17" s="1">
        <v>65</v>
      </c>
      <c r="L17" s="1">
        <v>65</v>
      </c>
      <c r="M17" s="1">
        <v>65</v>
      </c>
      <c r="N17" s="32">
        <v>65</v>
      </c>
      <c r="O17" s="1">
        <v>65</v>
      </c>
      <c r="P17" s="1">
        <v>65</v>
      </c>
    </row>
    <row r="18" spans="1:16" ht="18" x14ac:dyDescent="0.4">
      <c r="A18" s="3" t="s">
        <v>24</v>
      </c>
      <c r="B18" s="2" t="s">
        <v>77</v>
      </c>
      <c r="C18" s="1">
        <v>0.21</v>
      </c>
      <c r="D18" s="1">
        <v>0.21</v>
      </c>
      <c r="E18" s="1">
        <v>0.21</v>
      </c>
      <c r="F18" s="1">
        <v>0.21</v>
      </c>
      <c r="G18" s="1">
        <v>0.21</v>
      </c>
      <c r="H18" s="1">
        <v>0.21</v>
      </c>
      <c r="I18" s="1">
        <v>0.21</v>
      </c>
      <c r="J18" s="1">
        <v>0.21</v>
      </c>
      <c r="K18" s="1">
        <v>0.21</v>
      </c>
      <c r="L18" s="1">
        <v>0.21</v>
      </c>
      <c r="M18" s="1">
        <v>0.21</v>
      </c>
      <c r="N18" s="32">
        <v>0.21</v>
      </c>
      <c r="O18" s="1">
        <v>0.21</v>
      </c>
      <c r="P18" s="1">
        <v>0.21</v>
      </c>
    </row>
    <row r="19" spans="1:16" x14ac:dyDescent="0.3">
      <c r="A19" s="3" t="s">
        <v>25</v>
      </c>
      <c r="B19" s="2" t="s">
        <v>10</v>
      </c>
      <c r="C19" s="30">
        <v>763.71199999999999</v>
      </c>
      <c r="D19" s="30">
        <v>919.22699999999998</v>
      </c>
      <c r="E19" s="30">
        <v>1075.25</v>
      </c>
      <c r="F19" s="30">
        <v>1231.75</v>
      </c>
      <c r="G19" s="30">
        <v>1388.77</v>
      </c>
      <c r="H19" s="30">
        <v>1546.2</v>
      </c>
      <c r="I19" s="30">
        <v>1703.98</v>
      </c>
      <c r="J19" s="30">
        <v>1862</v>
      </c>
      <c r="K19" s="30">
        <v>2020.09</v>
      </c>
      <c r="L19" s="30">
        <v>2177.31</v>
      </c>
      <c r="M19" s="30">
        <v>2331.9499999999998</v>
      </c>
      <c r="N19" s="32">
        <v>2467.92</v>
      </c>
      <c r="O19" s="30">
        <v>2635.46</v>
      </c>
      <c r="P19" s="30">
        <v>2782.31</v>
      </c>
    </row>
    <row r="20" spans="1:16" ht="18" x14ac:dyDescent="0.4">
      <c r="A20" s="3" t="s">
        <v>26</v>
      </c>
      <c r="B20" s="2" t="s">
        <v>1</v>
      </c>
      <c r="C20" s="1">
        <v>121.7453</v>
      </c>
      <c r="D20" s="1">
        <v>121.7259</v>
      </c>
      <c r="E20" s="1">
        <v>121.7094</v>
      </c>
      <c r="F20" s="1">
        <v>121.694</v>
      </c>
      <c r="G20" s="1">
        <v>121.6806</v>
      </c>
      <c r="H20" s="1">
        <v>121.66759999999999</v>
      </c>
      <c r="I20" s="1">
        <v>121.65479999999999</v>
      </c>
      <c r="J20" s="1">
        <v>121.6433</v>
      </c>
      <c r="K20" s="1">
        <v>121.63249999999999</v>
      </c>
      <c r="L20" s="1">
        <v>121.62220000000001</v>
      </c>
      <c r="M20" s="1">
        <v>121.6116</v>
      </c>
      <c r="N20" s="32">
        <v>121.60290000000001</v>
      </c>
      <c r="O20" s="1">
        <v>121.5908</v>
      </c>
      <c r="P20" s="1">
        <v>121.5731</v>
      </c>
    </row>
    <row r="21" spans="1:16" x14ac:dyDescent="0.3">
      <c r="A21" s="3" t="s">
        <v>78</v>
      </c>
      <c r="B21" s="2" t="s">
        <v>5</v>
      </c>
      <c r="C21" s="1">
        <f>0.01511306+0.003121843</f>
        <v>1.8234903E-2</v>
      </c>
      <c r="D21" s="1">
        <f>0.01786801+0.003690548</f>
        <v>2.1558557999999999E-2</v>
      </c>
      <c r="E21" s="1">
        <f>0.02052997+0.004240001</f>
        <v>2.4769971000000002E-2</v>
      </c>
      <c r="F21" s="1">
        <f>0.02310496+0.004771293</f>
        <v>2.7876253E-2</v>
      </c>
      <c r="G21" s="1">
        <f>0.02560159+0.005286282</f>
        <v>3.0887872E-2</v>
      </c>
      <c r="H21" s="1">
        <f>0.02801797+0.005784677</f>
        <v>3.3802646999999998E-2</v>
      </c>
      <c r="I21" s="1">
        <f>0.03037791+0.006270822</f>
        <v>3.6648732000000003E-2</v>
      </c>
      <c r="J21" s="1">
        <f>0.03271085+0.006750215</f>
        <v>3.9461065000000003E-2</v>
      </c>
      <c r="K21" s="1">
        <f>0.03503933+0.007226765</f>
        <v>4.2266095000000004E-2</v>
      </c>
      <c r="L21" s="1">
        <f>0.03753683+0.007730979</f>
        <v>4.5267808999999999E-2</v>
      </c>
      <c r="M21" s="1">
        <f>0.04049648+0.008313987</f>
        <v>4.8810467000000003E-2</v>
      </c>
      <c r="N21" s="32">
        <f>0.04347934+0.00889098</f>
        <v>5.2370319999999998E-2</v>
      </c>
      <c r="O21" s="1">
        <f>0.04751996+0.009660318</f>
        <v>5.7180278000000001E-2</v>
      </c>
      <c r="P21" s="1">
        <f>0.05195678+0.01047242</f>
        <v>6.2429200000000004E-2</v>
      </c>
    </row>
    <row r="22" spans="1:16" x14ac:dyDescent="0.3">
      <c r="A22" s="3" t="s">
        <v>79</v>
      </c>
      <c r="B22" s="2" t="s">
        <v>5</v>
      </c>
      <c r="C22" s="1">
        <f>C21+C15</f>
        <v>0.12592514299999999</v>
      </c>
      <c r="D22" s="1">
        <f t="shared" ref="D22:P22" si="2">D21+D15</f>
        <v>0.174256678</v>
      </c>
      <c r="E22" s="1">
        <f t="shared" si="2"/>
        <v>0.23020706099999999</v>
      </c>
      <c r="F22" s="1">
        <f t="shared" si="2"/>
        <v>0.29379245300000001</v>
      </c>
      <c r="G22" s="1">
        <f t="shared" si="2"/>
        <v>0.365385562</v>
      </c>
      <c r="H22" s="1">
        <f t="shared" si="2"/>
        <v>0.445766897</v>
      </c>
      <c r="I22" s="1">
        <f t="shared" si="2"/>
        <v>0.53631693199999997</v>
      </c>
      <c r="J22" s="1">
        <f t="shared" si="2"/>
        <v>0.63940732500000008</v>
      </c>
      <c r="K22" s="1">
        <f t="shared" si="2"/>
        <v>0.75893233500000001</v>
      </c>
      <c r="L22" s="1">
        <f t="shared" si="2"/>
        <v>0.90201166900000007</v>
      </c>
      <c r="M22" s="1">
        <f t="shared" si="2"/>
        <v>1.0822564770000001</v>
      </c>
      <c r="N22" s="32">
        <f t="shared" si="2"/>
        <v>1.29739106</v>
      </c>
      <c r="O22" s="1">
        <f t="shared" si="2"/>
        <v>1.7350383679999999</v>
      </c>
      <c r="P22" s="1">
        <f t="shared" si="2"/>
        <v>2.8995463399999997</v>
      </c>
    </row>
    <row r="23" spans="1:16" x14ac:dyDescent="0.3">
      <c r="A23" s="3" t="s">
        <v>80</v>
      </c>
      <c r="B23" s="2" t="s">
        <v>52</v>
      </c>
      <c r="C23" s="1">
        <f>C22/C11*1000</f>
        <v>0.51054597239791111</v>
      </c>
      <c r="D23" s="1">
        <f t="shared" ref="D23:P23" si="3">D22/D11*1000</f>
        <v>0.59248246931109427</v>
      </c>
      <c r="E23" s="1">
        <f>E22/E11*1000</f>
        <v>0.67566665296981898</v>
      </c>
      <c r="F23" s="1">
        <f t="shared" si="3"/>
        <v>0.76021438958753829</v>
      </c>
      <c r="G23" s="1">
        <f t="shared" si="3"/>
        <v>0.84694210757377897</v>
      </c>
      <c r="H23" s="1">
        <f t="shared" si="3"/>
        <v>0.93722008667721968</v>
      </c>
      <c r="I23" s="1">
        <f t="shared" si="3"/>
        <v>1.0331525588548953</v>
      </c>
      <c r="J23" s="1">
        <f t="shared" si="3"/>
        <v>1.1378854845452044</v>
      </c>
      <c r="K23" s="1">
        <f t="shared" si="3"/>
        <v>1.2563095620799722</v>
      </c>
      <c r="L23" s="1">
        <f t="shared" si="3"/>
        <v>1.3972370521405877</v>
      </c>
      <c r="M23" s="1">
        <f t="shared" si="3"/>
        <v>1.5768791588163156</v>
      </c>
      <c r="N23" s="32">
        <f t="shared" si="3"/>
        <v>1.7972223068769231</v>
      </c>
      <c r="O23" s="1">
        <f t="shared" si="3"/>
        <v>2.269100127485296</v>
      </c>
      <c r="P23" s="1">
        <f t="shared" si="3"/>
        <v>3.6341110169018864</v>
      </c>
    </row>
    <row r="24" spans="1:16" x14ac:dyDescent="0.3">
      <c r="A24" s="3" t="s">
        <v>34</v>
      </c>
      <c r="B24" s="2" t="s">
        <v>28</v>
      </c>
      <c r="C24" s="1">
        <f>C19/C11</f>
        <v>3.0963640491712887</v>
      </c>
      <c r="D24" s="1">
        <f t="shared" ref="D24:P24" si="4">D19/D11</f>
        <v>3.1254233069760988</v>
      </c>
      <c r="E24" s="1">
        <f t="shared" si="4"/>
        <v>3.1559004552245158</v>
      </c>
      <c r="F24" s="1">
        <f t="shared" si="4"/>
        <v>3.1872638824199142</v>
      </c>
      <c r="G24" s="1">
        <f t="shared" si="4"/>
        <v>3.2190866664163291</v>
      </c>
      <c r="H24" s="1">
        <f t="shared" si="4"/>
        <v>3.2508688010996858</v>
      </c>
      <c r="I24" s="1">
        <f t="shared" si="4"/>
        <v>3.2825204504965448</v>
      </c>
      <c r="J24" s="1">
        <f t="shared" si="4"/>
        <v>3.3136041602638358</v>
      </c>
      <c r="K24" s="1">
        <f t="shared" si="4"/>
        <v>3.343985051397409</v>
      </c>
      <c r="L24" s="1">
        <f t="shared" si="4"/>
        <v>3.3727038247397911</v>
      </c>
      <c r="M24" s="1">
        <f t="shared" si="4"/>
        <v>3.3977189626943733</v>
      </c>
      <c r="N24" s="32">
        <f t="shared" si="4"/>
        <v>3.4187077530715344</v>
      </c>
      <c r="O24" s="1">
        <f t="shared" si="4"/>
        <v>3.4466803341506274</v>
      </c>
      <c r="P24" s="1">
        <f t="shared" si="4"/>
        <v>3.4871742810071069</v>
      </c>
    </row>
    <row r="25" spans="1:16" x14ac:dyDescent="0.3">
      <c r="A25" s="150" t="s">
        <v>27</v>
      </c>
      <c r="B25" s="12" t="s">
        <v>36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32"/>
      <c r="O25" s="1"/>
      <c r="P25" s="1"/>
    </row>
    <row r="26" spans="1:16" x14ac:dyDescent="0.3">
      <c r="A26" s="150"/>
      <c r="B26" s="2" t="s">
        <v>11</v>
      </c>
      <c r="C26" s="1">
        <v>0.8859745</v>
      </c>
      <c r="D26" s="1">
        <v>0.88601799999999997</v>
      </c>
      <c r="E26" s="1">
        <v>0.88607219999999998</v>
      </c>
      <c r="F26" s="1">
        <v>0.88611890000000004</v>
      </c>
      <c r="G26" s="1">
        <v>0.88615310000000003</v>
      </c>
      <c r="H26" s="1">
        <v>0.88618620000000004</v>
      </c>
      <c r="I26" s="1">
        <v>0.88618589999999997</v>
      </c>
      <c r="J26" s="1">
        <v>0.88612690000000005</v>
      </c>
      <c r="K26" s="1">
        <v>0.88599229999999995</v>
      </c>
      <c r="L26" s="1">
        <v>0.88557669999999999</v>
      </c>
      <c r="M26" s="1">
        <v>0.88458899999999996</v>
      </c>
      <c r="N26" s="32">
        <v>0.88333680000000003</v>
      </c>
      <c r="O26" s="1">
        <v>0.88143740000000004</v>
      </c>
      <c r="P26" s="1">
        <v>0.87854180000000004</v>
      </c>
    </row>
    <row r="27" spans="1:16" x14ac:dyDescent="0.3">
      <c r="A27" s="150"/>
      <c r="B27" s="2" t="s">
        <v>12</v>
      </c>
      <c r="C27" s="1">
        <v>2.6252879999999999E-3</v>
      </c>
      <c r="D27" s="1">
        <v>2.4900959999999998E-3</v>
      </c>
      <c r="E27" s="1">
        <v>2.3554000000000001E-3</v>
      </c>
      <c r="F27" s="1">
        <v>2.228767E-3</v>
      </c>
      <c r="G27" s="1">
        <v>2.11247E-3</v>
      </c>
      <c r="H27" s="1">
        <v>2.0070489999999999E-3</v>
      </c>
      <c r="I27" s="1">
        <v>1.911896E-3</v>
      </c>
      <c r="J27" s="1">
        <v>1.825391E-3</v>
      </c>
      <c r="K27" s="1">
        <v>1.7465149999999999E-3</v>
      </c>
      <c r="L27" s="1">
        <v>1.673786E-3</v>
      </c>
      <c r="M27" s="1">
        <v>1.604839E-3</v>
      </c>
      <c r="N27" s="32">
        <v>1.54561E-3</v>
      </c>
      <c r="O27" s="1">
        <v>1.4700469999999999E-3</v>
      </c>
      <c r="P27" s="1">
        <v>1.3729739999999999E-3</v>
      </c>
    </row>
    <row r="28" spans="1:16" x14ac:dyDescent="0.3">
      <c r="A28" s="150"/>
      <c r="B28" s="2" t="s">
        <v>13</v>
      </c>
      <c r="C28" s="1">
        <v>1.481811E-4</v>
      </c>
      <c r="D28" s="1">
        <v>1.4574520000000001E-4</v>
      </c>
      <c r="E28" s="1">
        <v>1.432386E-4</v>
      </c>
      <c r="F28" s="1">
        <v>1.408564E-4</v>
      </c>
      <c r="G28" s="1">
        <v>1.386576E-4</v>
      </c>
      <c r="H28" s="1">
        <v>1.366695E-4</v>
      </c>
      <c r="I28" s="1">
        <v>1.3489080000000001E-4</v>
      </c>
      <c r="J28" s="1">
        <v>1.332781E-4</v>
      </c>
      <c r="K28" s="1">
        <v>1.3181569999999999E-4</v>
      </c>
      <c r="L28" s="1">
        <v>1.304647E-4</v>
      </c>
      <c r="M28" s="1">
        <v>1.291369E-4</v>
      </c>
      <c r="N28" s="32">
        <v>1.2798169999999999E-4</v>
      </c>
      <c r="O28" s="1">
        <v>1.2650899999999999E-4</v>
      </c>
      <c r="P28" s="1">
        <v>1.246803E-4</v>
      </c>
    </row>
    <row r="29" spans="1:16" x14ac:dyDescent="0.3">
      <c r="A29" s="150"/>
      <c r="B29" s="2" t="s">
        <v>14</v>
      </c>
      <c r="C29" s="35">
        <v>2.591004E-5</v>
      </c>
      <c r="D29" s="35">
        <v>2.548165E-5</v>
      </c>
      <c r="E29" s="35">
        <v>2.503616E-5</v>
      </c>
      <c r="F29" s="35">
        <v>2.4607790000000001E-5</v>
      </c>
      <c r="G29" s="35">
        <v>2.4207419999999999E-5</v>
      </c>
      <c r="H29" s="35">
        <v>2.3840570000000001E-5</v>
      </c>
      <c r="I29" s="35">
        <v>2.350757E-5</v>
      </c>
      <c r="J29" s="35">
        <v>2.3201250000000001E-5</v>
      </c>
      <c r="K29" s="35">
        <v>2.291931E-5</v>
      </c>
      <c r="L29" s="35">
        <v>2.2655049999999999E-5</v>
      </c>
      <c r="M29" s="35">
        <v>2.2393029999999999E-5</v>
      </c>
      <c r="N29" s="36">
        <v>2.216231E-5</v>
      </c>
      <c r="O29" s="35">
        <v>2.1863409999999999E-5</v>
      </c>
      <c r="P29" s="35">
        <v>2.1480649999999999E-5</v>
      </c>
    </row>
    <row r="30" spans="1:16" x14ac:dyDescent="0.3">
      <c r="A30" s="150"/>
      <c r="B30" s="2" t="s">
        <v>15</v>
      </c>
      <c r="C30" s="1">
        <v>0.1111312</v>
      </c>
      <c r="D30" s="1">
        <v>0.1112262</v>
      </c>
      <c r="E30" s="1">
        <v>0.1113101</v>
      </c>
      <c r="F30" s="1">
        <v>0.1113934</v>
      </c>
      <c r="G30" s="1">
        <v>0.11147840000000001</v>
      </c>
      <c r="H30" s="1">
        <v>0.11155329999999999</v>
      </c>
      <c r="I30" s="1">
        <v>0.11165129999999999</v>
      </c>
      <c r="J30" s="1">
        <v>0.11179890000000001</v>
      </c>
      <c r="K30" s="1">
        <v>0.112014</v>
      </c>
      <c r="L30" s="1">
        <v>0.11250350000000001</v>
      </c>
      <c r="M30" s="1">
        <v>0.1135603</v>
      </c>
      <c r="N30" s="32">
        <v>0.1148709</v>
      </c>
      <c r="O30" s="35">
        <v>0.11684460000000001</v>
      </c>
      <c r="P30" s="1">
        <v>0.1198343</v>
      </c>
    </row>
    <row r="31" spans="1:16" x14ac:dyDescent="0.3">
      <c r="A31" s="150"/>
      <c r="B31" s="2" t="s">
        <v>0</v>
      </c>
      <c r="C31" s="35">
        <v>7.8647039999999997E-5</v>
      </c>
      <c r="D31" s="35">
        <v>7.8202710000000003E-5</v>
      </c>
      <c r="E31" s="35">
        <v>7.7818079999999998E-5</v>
      </c>
      <c r="F31" s="35">
        <v>7.7482010000000002E-5</v>
      </c>
      <c r="G31" s="35">
        <v>7.7186509999999998E-5</v>
      </c>
      <c r="H31" s="35">
        <v>7.6903380000000005E-5</v>
      </c>
      <c r="I31" s="35">
        <v>7.6680720000000001E-5</v>
      </c>
      <c r="J31" s="35">
        <v>7.6556269999999995E-5</v>
      </c>
      <c r="K31" s="35">
        <v>7.6553379999999997E-5</v>
      </c>
      <c r="L31" s="35">
        <v>7.699514E-5</v>
      </c>
      <c r="M31" s="35">
        <v>7.8345270000000001E-5</v>
      </c>
      <c r="N31" s="36">
        <v>8.0145319999999995E-5</v>
      </c>
      <c r="O31" s="35">
        <v>8.2928669999999996E-5</v>
      </c>
      <c r="P31" s="35">
        <v>8.7242830000000006E-5</v>
      </c>
    </row>
    <row r="32" spans="1:16" x14ac:dyDescent="0.3">
      <c r="A32" s="150"/>
      <c r="B32" s="2" t="s">
        <v>61</v>
      </c>
      <c r="C32" s="35">
        <v>1.62458E-5</v>
      </c>
      <c r="D32" s="35">
        <v>1.615238E-5</v>
      </c>
      <c r="E32" s="35">
        <v>1.6071569999999998E-5</v>
      </c>
      <c r="F32" s="35">
        <v>1.6000429999999999E-5</v>
      </c>
      <c r="G32" s="35">
        <v>1.5937669999999999E-5</v>
      </c>
      <c r="H32" s="35">
        <v>1.5877709999999999E-5</v>
      </c>
      <c r="I32" s="35">
        <v>1.5828969999999998E-5</v>
      </c>
      <c r="J32" s="35">
        <v>1.5798160000000001E-5</v>
      </c>
      <c r="K32" s="35">
        <v>1.5788919999999999E-5</v>
      </c>
      <c r="L32" s="35">
        <v>1.5857699999999999E-5</v>
      </c>
      <c r="M32" s="35">
        <v>1.6084400000000001E-5</v>
      </c>
      <c r="N32" s="36">
        <v>1.6388709999999998E-5</v>
      </c>
      <c r="O32" s="35">
        <v>1.6858540000000001E-5</v>
      </c>
      <c r="P32" s="35">
        <v>1.758468E-5</v>
      </c>
    </row>
    <row r="33" spans="1:16" x14ac:dyDescent="0.3">
      <c r="A33" s="150" t="s">
        <v>27</v>
      </c>
      <c r="B33" s="12" t="s">
        <v>35</v>
      </c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32"/>
      <c r="O33" s="35"/>
      <c r="P33" s="1"/>
    </row>
    <row r="34" spans="1:16" x14ac:dyDescent="0.3">
      <c r="A34" s="150"/>
      <c r="B34" s="2" t="s">
        <v>11</v>
      </c>
      <c r="C34" s="1">
        <v>0.76403540000000003</v>
      </c>
      <c r="D34" s="1">
        <v>0.76395570000000002</v>
      </c>
      <c r="E34" s="1">
        <v>0.76389600000000002</v>
      </c>
      <c r="F34" s="1">
        <v>0.76383190000000001</v>
      </c>
      <c r="G34" s="1">
        <v>0.76375749999999998</v>
      </c>
      <c r="H34" s="1">
        <v>0.76369390000000004</v>
      </c>
      <c r="I34" s="1">
        <v>0.76358159999999997</v>
      </c>
      <c r="J34" s="1">
        <v>0.76337350000000004</v>
      </c>
      <c r="K34" s="1">
        <v>0.76303799999999999</v>
      </c>
      <c r="L34" s="1">
        <v>0.76220209999999999</v>
      </c>
      <c r="M34" s="1">
        <v>0.76034080000000004</v>
      </c>
      <c r="N34" s="32">
        <v>0.75802119999999995</v>
      </c>
      <c r="O34" s="1">
        <v>0.75453289999999995</v>
      </c>
      <c r="P34" s="1">
        <v>0.74926979999999999</v>
      </c>
    </row>
    <row r="35" spans="1:16" x14ac:dyDescent="0.3">
      <c r="A35" s="150"/>
      <c r="B35" s="2" t="s">
        <v>12</v>
      </c>
      <c r="C35" s="1">
        <v>1.555248E-3</v>
      </c>
      <c r="D35" s="1">
        <v>1.4749330000000001E-3</v>
      </c>
      <c r="E35" s="1">
        <v>1.394955E-3</v>
      </c>
      <c r="F35" s="1">
        <v>1.319778E-3</v>
      </c>
      <c r="G35" s="1">
        <v>1.250742E-3</v>
      </c>
      <c r="H35" s="1">
        <v>1.1881820000000001E-3</v>
      </c>
      <c r="I35" s="1">
        <v>1.1316849999999999E-3</v>
      </c>
      <c r="J35" s="1">
        <v>1.080258E-3</v>
      </c>
      <c r="K35" s="1">
        <v>1.033282E-3</v>
      </c>
      <c r="L35" s="1">
        <v>9.8963330000000006E-4</v>
      </c>
      <c r="M35" s="1">
        <v>9.4760790000000003E-4</v>
      </c>
      <c r="N35" s="32">
        <v>9.1114080000000001E-4</v>
      </c>
      <c r="O35" s="1">
        <v>8.6446730000000005E-4</v>
      </c>
      <c r="P35" s="1">
        <v>8.0439360000000002E-4</v>
      </c>
    </row>
    <row r="36" spans="1:16" x14ac:dyDescent="0.3">
      <c r="A36" s="150"/>
      <c r="B36" s="2" t="s">
        <v>13</v>
      </c>
      <c r="C36" s="1">
        <v>2.007527E-4</v>
      </c>
      <c r="D36" s="1">
        <v>1.9742229999999999E-4</v>
      </c>
      <c r="E36" s="1">
        <v>1.9399989999999999E-4</v>
      </c>
      <c r="F36" s="1">
        <v>1.9074740000000001E-4</v>
      </c>
      <c r="G36" s="1">
        <v>1.8774420000000001E-4</v>
      </c>
      <c r="H36" s="1">
        <v>1.8503000000000001E-4</v>
      </c>
      <c r="I36" s="1">
        <v>1.825951E-4</v>
      </c>
      <c r="J36" s="1">
        <v>1.803749E-4</v>
      </c>
      <c r="K36" s="1">
        <v>1.7834440000000001E-4</v>
      </c>
      <c r="L36" s="1">
        <v>1.7640590000000001E-4</v>
      </c>
      <c r="M36" s="1">
        <v>1.7437870000000001E-4</v>
      </c>
      <c r="N36" s="32">
        <v>1.725358E-4</v>
      </c>
      <c r="O36" s="1">
        <v>1.7013139999999999E-4</v>
      </c>
      <c r="P36" s="1">
        <v>1.670513E-4</v>
      </c>
    </row>
    <row r="37" spans="1:16" x14ac:dyDescent="0.3">
      <c r="A37" s="150"/>
      <c r="B37" s="2" t="s">
        <v>14</v>
      </c>
      <c r="C37" s="35">
        <v>3.0730900000000001E-5</v>
      </c>
      <c r="D37" s="35">
        <v>3.0218169999999999E-5</v>
      </c>
      <c r="E37" s="35">
        <v>2.9685730000000001E-5</v>
      </c>
      <c r="F37" s="35">
        <v>2.917382E-5</v>
      </c>
      <c r="G37" s="35">
        <v>2.869526E-5</v>
      </c>
      <c r="H37" s="35">
        <v>2.825699E-5</v>
      </c>
      <c r="I37" s="35">
        <v>2.7858219999999998E-5</v>
      </c>
      <c r="J37" s="35">
        <v>2.7489540000000001E-5</v>
      </c>
      <c r="K37" s="35">
        <v>2.714768E-5</v>
      </c>
      <c r="L37" s="35">
        <v>2.6817849999999999E-5</v>
      </c>
      <c r="M37" s="35">
        <v>2.6472469999999999E-5</v>
      </c>
      <c r="N37" s="36">
        <v>2.6156829999999999E-5</v>
      </c>
      <c r="O37" s="35">
        <v>2.574066E-5</v>
      </c>
      <c r="P37" s="35">
        <v>2.519638E-5</v>
      </c>
    </row>
    <row r="38" spans="1:16" x14ac:dyDescent="0.3">
      <c r="A38" s="150"/>
      <c r="B38" s="2" t="s">
        <v>15</v>
      </c>
      <c r="C38" s="1">
        <v>0.23412369999999999</v>
      </c>
      <c r="D38" s="1">
        <v>0.23428789999999999</v>
      </c>
      <c r="E38" s="1">
        <v>0.2344319</v>
      </c>
      <c r="F38" s="1">
        <v>0.23457529999999999</v>
      </c>
      <c r="G38" s="1">
        <v>0.2347224</v>
      </c>
      <c r="H38" s="1">
        <v>0.2348518</v>
      </c>
      <c r="I38" s="1">
        <v>0.2350236</v>
      </c>
      <c r="J38" s="1">
        <v>0.23528589999999999</v>
      </c>
      <c r="K38" s="1">
        <v>0.23567070000000001</v>
      </c>
      <c r="L38" s="1">
        <v>0.23655219999999999</v>
      </c>
      <c r="M38" s="1">
        <v>0.23845720000000001</v>
      </c>
      <c r="N38" s="32">
        <v>0.24081420000000001</v>
      </c>
      <c r="O38" s="1">
        <v>0.24435009999999999</v>
      </c>
      <c r="P38" s="1">
        <v>0.24967439999999999</v>
      </c>
    </row>
    <row r="39" spans="1:16" x14ac:dyDescent="0.3">
      <c r="A39" s="150"/>
      <c r="B39" s="2" t="s">
        <v>0</v>
      </c>
      <c r="C39" s="35">
        <v>4.8865069999999999E-5</v>
      </c>
      <c r="D39" s="35">
        <v>4.8581549999999999E-5</v>
      </c>
      <c r="E39" s="35">
        <v>4.8335869999999997E-5</v>
      </c>
      <c r="F39" s="35">
        <v>4.8120539999999997E-5</v>
      </c>
      <c r="G39" s="35">
        <v>4.7930509999999999E-5</v>
      </c>
      <c r="H39" s="35">
        <v>4.7748940000000002E-5</v>
      </c>
      <c r="I39" s="35">
        <v>4.76037E-5</v>
      </c>
      <c r="J39" s="35">
        <v>4.7516650000000002E-5</v>
      </c>
      <c r="K39" s="35">
        <v>4.7501189999999998E-5</v>
      </c>
      <c r="L39" s="35">
        <v>4.7745350000000002E-5</v>
      </c>
      <c r="M39" s="35">
        <v>4.8518060000000003E-5</v>
      </c>
      <c r="N39" s="36">
        <v>4.9551529999999997E-5</v>
      </c>
      <c r="O39" s="35">
        <v>5.1146429999999997E-5</v>
      </c>
      <c r="P39" s="35">
        <v>5.3607969999999997E-5</v>
      </c>
    </row>
    <row r="40" spans="1:16" x14ac:dyDescent="0.3">
      <c r="A40" s="150"/>
      <c r="B40" s="2" t="s">
        <v>61</v>
      </c>
      <c r="C40" s="35">
        <v>5.1741570000000002E-6</v>
      </c>
      <c r="D40" s="35">
        <v>5.1436150000000004E-6</v>
      </c>
      <c r="E40" s="35">
        <v>5.1171669999999996E-6</v>
      </c>
      <c r="F40" s="35">
        <v>5.0938210000000002E-6</v>
      </c>
      <c r="G40" s="35">
        <v>5.0731510000000001E-6</v>
      </c>
      <c r="H40" s="35">
        <v>5.0534559999999996E-6</v>
      </c>
      <c r="I40" s="35">
        <v>5.0372039999999999E-6</v>
      </c>
      <c r="J40" s="35">
        <v>5.0263649999999999E-6</v>
      </c>
      <c r="K40" s="35">
        <v>5.0219789999999996E-6</v>
      </c>
      <c r="L40" s="35">
        <v>5.0406959999999998E-6</v>
      </c>
      <c r="M40" s="35">
        <v>5.1059660000000002E-6</v>
      </c>
      <c r="N40" s="36">
        <v>5.1940499999999998E-6</v>
      </c>
      <c r="O40" s="35">
        <v>5.3298259999999996E-6</v>
      </c>
      <c r="P40" s="35">
        <v>5.5388100000000001E-6</v>
      </c>
    </row>
  </sheetData>
  <mergeCells count="2">
    <mergeCell ref="A25:A32"/>
    <mergeCell ref="A33:A40"/>
  </mergeCell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0"/>
  <sheetViews>
    <sheetView topLeftCell="C8" zoomScale="80" zoomScaleNormal="80" workbookViewId="0">
      <selection activeCell="P34" sqref="P34:P40"/>
    </sheetView>
  </sheetViews>
  <sheetFormatPr defaultRowHeight="15.6" x14ac:dyDescent="0.3"/>
  <cols>
    <col min="1" max="1" width="60.59765625" customWidth="1"/>
    <col min="2" max="2" width="23.19921875" customWidth="1"/>
    <col min="16" max="16" width="8.796875" style="24"/>
  </cols>
  <sheetData>
    <row r="1" spans="1:18" x14ac:dyDescent="0.3">
      <c r="A1" s="61" t="s">
        <v>69</v>
      </c>
      <c r="B1" s="62" t="s">
        <v>8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32"/>
      <c r="Q1" s="1"/>
      <c r="R1" s="1"/>
    </row>
    <row r="2" spans="1:18" x14ac:dyDescent="0.3">
      <c r="A2" s="3" t="s">
        <v>17</v>
      </c>
      <c r="B2" s="2" t="s">
        <v>1</v>
      </c>
      <c r="C2" s="58">
        <v>40</v>
      </c>
      <c r="D2" s="58">
        <v>40</v>
      </c>
      <c r="E2" s="58">
        <v>40</v>
      </c>
      <c r="F2" s="58">
        <v>40</v>
      </c>
      <c r="G2" s="58">
        <v>40</v>
      </c>
      <c r="H2" s="58">
        <v>40</v>
      </c>
      <c r="I2" s="58">
        <v>40</v>
      </c>
      <c r="J2" s="58">
        <v>40</v>
      </c>
      <c r="K2" s="58">
        <v>40</v>
      </c>
      <c r="L2" s="58">
        <v>40</v>
      </c>
      <c r="M2" s="58">
        <v>40</v>
      </c>
      <c r="N2" s="58">
        <v>40</v>
      </c>
      <c r="O2" s="58">
        <v>40</v>
      </c>
      <c r="P2" s="85">
        <v>40</v>
      </c>
      <c r="Q2" s="58">
        <v>40</v>
      </c>
      <c r="R2" s="58">
        <v>40</v>
      </c>
    </row>
    <row r="3" spans="1:18" x14ac:dyDescent="0.3">
      <c r="A3" s="3" t="s">
        <v>16</v>
      </c>
      <c r="B3" s="2" t="s">
        <v>2</v>
      </c>
      <c r="C3" s="58">
        <v>1.0129999999999999</v>
      </c>
      <c r="D3" s="58">
        <v>1.0129999999999999</v>
      </c>
      <c r="E3" s="58">
        <v>1.0129999999999999</v>
      </c>
      <c r="F3" s="58">
        <v>1.0129999999999999</v>
      </c>
      <c r="G3" s="58">
        <v>1.0129999999999999</v>
      </c>
      <c r="H3" s="58">
        <v>1.0129999999999999</v>
      </c>
      <c r="I3" s="58">
        <v>1.0129999999999999</v>
      </c>
      <c r="J3" s="58">
        <v>1.0129999999999999</v>
      </c>
      <c r="K3" s="58">
        <v>1.0129999999999999</v>
      </c>
      <c r="L3" s="58">
        <v>1.0129999999999999</v>
      </c>
      <c r="M3" s="58">
        <v>1.0129999999999999</v>
      </c>
      <c r="N3" s="58">
        <v>1.0129999999999999</v>
      </c>
      <c r="O3" s="58">
        <v>1.0129999999999999</v>
      </c>
      <c r="P3" s="85">
        <v>1.0129999999999999</v>
      </c>
      <c r="Q3" s="58">
        <v>1.0129999999999999</v>
      </c>
      <c r="R3" s="58">
        <v>1.0129999999999999</v>
      </c>
    </row>
    <row r="4" spans="1:18" x14ac:dyDescent="0.3">
      <c r="A4" s="3" t="s">
        <v>3</v>
      </c>
      <c r="B4" s="2" t="s">
        <v>1</v>
      </c>
      <c r="C4" s="58">
        <v>40</v>
      </c>
      <c r="D4" s="58">
        <v>40</v>
      </c>
      <c r="E4" s="58">
        <v>40</v>
      </c>
      <c r="F4" s="58">
        <v>40</v>
      </c>
      <c r="G4" s="58">
        <v>40</v>
      </c>
      <c r="H4" s="58">
        <v>40</v>
      </c>
      <c r="I4" s="58">
        <v>40</v>
      </c>
      <c r="J4" s="58">
        <v>40</v>
      </c>
      <c r="K4" s="58">
        <v>40</v>
      </c>
      <c r="L4" s="58">
        <v>40</v>
      </c>
      <c r="M4" s="58">
        <v>40</v>
      </c>
      <c r="N4" s="58">
        <v>40</v>
      </c>
      <c r="O4" s="58">
        <v>40</v>
      </c>
      <c r="P4" s="85">
        <v>40</v>
      </c>
      <c r="Q4" s="58">
        <v>40</v>
      </c>
      <c r="R4" s="58">
        <v>40</v>
      </c>
    </row>
    <row r="5" spans="1:18" x14ac:dyDescent="0.3">
      <c r="A5" s="3" t="s">
        <v>18</v>
      </c>
      <c r="B5" s="2" t="s">
        <v>2</v>
      </c>
      <c r="C5" s="58">
        <v>1.0129999999999999</v>
      </c>
      <c r="D5" s="58">
        <v>1.0129999999999999</v>
      </c>
      <c r="E5" s="58">
        <v>1.0129999999999999</v>
      </c>
      <c r="F5" s="58">
        <v>1.0129999999999999</v>
      </c>
      <c r="G5" s="58">
        <v>1.0129999999999999</v>
      </c>
      <c r="H5" s="58">
        <v>1.0129999999999999</v>
      </c>
      <c r="I5" s="58">
        <v>1.0129999999999999</v>
      </c>
      <c r="J5" s="58">
        <v>1.0129999999999999</v>
      </c>
      <c r="K5" s="58">
        <v>1.0129999999999999</v>
      </c>
      <c r="L5" s="58">
        <v>1.0129999999999999</v>
      </c>
      <c r="M5" s="58">
        <v>1.0129999999999999</v>
      </c>
      <c r="N5" s="58">
        <v>1.0129999999999999</v>
      </c>
      <c r="O5" s="58">
        <v>1.0129999999999999</v>
      </c>
      <c r="P5" s="85">
        <v>1.0129999999999999</v>
      </c>
      <c r="Q5" s="58">
        <v>1.0129999999999999</v>
      </c>
      <c r="R5" s="58">
        <v>1.0129999999999999</v>
      </c>
    </row>
    <row r="6" spans="1:18" x14ac:dyDescent="0.3">
      <c r="A6" s="3" t="s">
        <v>4</v>
      </c>
      <c r="B6" s="2" t="s">
        <v>5</v>
      </c>
      <c r="C6" s="77">
        <f>'MEA 30%'!$C$6</f>
        <v>5050.3680000000004</v>
      </c>
      <c r="D6" s="77">
        <f>'MEA 30%'!$C$6</f>
        <v>5050.3680000000004</v>
      </c>
      <c r="E6" s="77">
        <f>'MEA 30%'!$C$6</f>
        <v>5050.3680000000004</v>
      </c>
      <c r="F6" s="77">
        <f>'MEA 30%'!$C$6</f>
        <v>5050.3680000000004</v>
      </c>
      <c r="G6" s="77">
        <f>'MEA 30%'!$C$6</f>
        <v>5050.3680000000004</v>
      </c>
      <c r="H6" s="77">
        <f>'MEA 30%'!$C$6</f>
        <v>5050.3680000000004</v>
      </c>
      <c r="I6" s="77">
        <f>'MEA 30%'!$C$6</f>
        <v>5050.3680000000004</v>
      </c>
      <c r="J6" s="77">
        <f>'MEA 30%'!$C$6</f>
        <v>5050.3680000000004</v>
      </c>
      <c r="K6" s="77">
        <f>'MEA 30%'!$C$6</f>
        <v>5050.3680000000004</v>
      </c>
      <c r="L6" s="77">
        <f>'MEA 30%'!$C$6</f>
        <v>5050.3680000000004</v>
      </c>
      <c r="M6" s="77">
        <f>'MEA 30%'!$C$6</f>
        <v>5050.3680000000004</v>
      </c>
      <c r="N6" s="77">
        <f>'MEA 30%'!$C$6</f>
        <v>5050.3680000000004</v>
      </c>
      <c r="O6" s="77">
        <f>'MEA 30%'!$C$6</f>
        <v>5050.3680000000004</v>
      </c>
      <c r="P6" s="86">
        <f>'MEA 30%'!$C$6</f>
        <v>5050.3680000000004</v>
      </c>
      <c r="Q6" s="77">
        <f>'MEA 30%'!$C$6</f>
        <v>5050.3680000000004</v>
      </c>
      <c r="R6" s="77">
        <f>'MEA 30%'!$C$6</f>
        <v>5050.3680000000004</v>
      </c>
    </row>
    <row r="7" spans="1:18" x14ac:dyDescent="0.3">
      <c r="A7" s="6" t="s">
        <v>6</v>
      </c>
      <c r="B7" s="22" t="s">
        <v>5</v>
      </c>
      <c r="C7" s="94">
        <f>C8*C6</f>
        <v>2525.1840000000002</v>
      </c>
      <c r="D7" s="94">
        <f t="shared" ref="D7:R7" si="0">D8*D6</f>
        <v>3030.2208000000001</v>
      </c>
      <c r="E7" s="94">
        <f t="shared" si="0"/>
        <v>3535.2575999999999</v>
      </c>
      <c r="F7" s="94">
        <f t="shared" si="0"/>
        <v>4040.2944000000007</v>
      </c>
      <c r="G7" s="94">
        <f t="shared" si="0"/>
        <v>4545.3312000000005</v>
      </c>
      <c r="H7" s="94">
        <f t="shared" si="0"/>
        <v>5050.3680000000004</v>
      </c>
      <c r="I7" s="94">
        <f t="shared" si="0"/>
        <v>5555.4048000000012</v>
      </c>
      <c r="J7" s="94">
        <f t="shared" si="0"/>
        <v>6060.4416000000001</v>
      </c>
      <c r="K7" s="94">
        <f t="shared" si="0"/>
        <v>6565.4784000000009</v>
      </c>
      <c r="L7" s="94">
        <f t="shared" si="0"/>
        <v>7070.5151999999998</v>
      </c>
      <c r="M7" s="94">
        <f t="shared" si="0"/>
        <v>7575.5520000000006</v>
      </c>
      <c r="N7" s="94">
        <f t="shared" si="0"/>
        <v>8080.5888000000014</v>
      </c>
      <c r="O7" s="94">
        <f t="shared" si="0"/>
        <v>8585.6256000000012</v>
      </c>
      <c r="P7" s="95">
        <f t="shared" si="0"/>
        <v>8949.7571328000013</v>
      </c>
      <c r="Q7" s="94">
        <f t="shared" si="0"/>
        <v>9595.6992000000009</v>
      </c>
      <c r="R7" s="94">
        <f t="shared" si="0"/>
        <v>10100.736000000001</v>
      </c>
    </row>
    <row r="8" spans="1:18" x14ac:dyDescent="0.3">
      <c r="A8" s="3" t="s">
        <v>7</v>
      </c>
      <c r="B8" s="2" t="s">
        <v>29</v>
      </c>
      <c r="C8" s="78">
        <v>0.5</v>
      </c>
      <c r="D8" s="78">
        <v>0.6</v>
      </c>
      <c r="E8" s="78">
        <v>0.7</v>
      </c>
      <c r="F8" s="78">
        <v>0.8</v>
      </c>
      <c r="G8" s="78">
        <v>0.9</v>
      </c>
      <c r="H8" s="78">
        <v>1</v>
      </c>
      <c r="I8" s="78">
        <v>1.1000000000000001</v>
      </c>
      <c r="J8" s="78">
        <v>1.2</v>
      </c>
      <c r="K8" s="78">
        <v>1.3</v>
      </c>
      <c r="L8" s="78">
        <v>1.4</v>
      </c>
      <c r="M8" s="78">
        <v>1.5</v>
      </c>
      <c r="N8" s="78">
        <v>1.6</v>
      </c>
      <c r="O8" s="78">
        <v>1.7</v>
      </c>
      <c r="P8" s="85">
        <v>1.7721</v>
      </c>
      <c r="Q8" s="78">
        <v>1.9</v>
      </c>
      <c r="R8" s="78">
        <v>2</v>
      </c>
    </row>
    <row r="9" spans="1:18" ht="18" x14ac:dyDescent="0.4">
      <c r="A9" s="3" t="s">
        <v>32</v>
      </c>
      <c r="B9" s="2" t="s">
        <v>5</v>
      </c>
      <c r="C9" s="1">
        <v>802.09379999999999</v>
      </c>
      <c r="D9" s="1">
        <v>802.09379999999999</v>
      </c>
      <c r="E9" s="1">
        <v>802.09379999999999</v>
      </c>
      <c r="F9" s="1">
        <v>802.09379999999999</v>
      </c>
      <c r="G9" s="1">
        <v>802.09379999999999</v>
      </c>
      <c r="H9" s="1">
        <v>802.09379999999999</v>
      </c>
      <c r="I9" s="1">
        <v>802.09379999999999</v>
      </c>
      <c r="J9" s="1">
        <v>802.09379999999999</v>
      </c>
      <c r="K9" s="1">
        <v>802.09379999999999</v>
      </c>
      <c r="L9" s="1">
        <v>802.09379999999999</v>
      </c>
      <c r="M9" s="1">
        <v>802.09379999999999</v>
      </c>
      <c r="N9" s="1">
        <v>802.09379999999999</v>
      </c>
      <c r="O9" s="1">
        <v>802.09379999999999</v>
      </c>
      <c r="P9" s="32">
        <v>802.09379999999999</v>
      </c>
      <c r="Q9" s="1">
        <v>802.09379999999999</v>
      </c>
      <c r="R9" s="1">
        <v>802.09379999999999</v>
      </c>
    </row>
    <row r="10" spans="1:18" ht="18" x14ac:dyDescent="0.4">
      <c r="A10" s="3" t="s">
        <v>33</v>
      </c>
      <c r="B10" s="2" t="s">
        <v>5</v>
      </c>
      <c r="C10" s="1">
        <v>576.74069999999995</v>
      </c>
      <c r="D10" s="1">
        <v>533.2663</v>
      </c>
      <c r="E10" s="1">
        <v>490.58179999999999</v>
      </c>
      <c r="F10" s="1">
        <v>448.71420000000001</v>
      </c>
      <c r="G10" s="1">
        <v>407.6139</v>
      </c>
      <c r="H10" s="1">
        <v>367.27409999999998</v>
      </c>
      <c r="I10" s="1">
        <v>327.64359999999999</v>
      </c>
      <c r="J10" s="1">
        <v>288.7294</v>
      </c>
      <c r="K10" s="1">
        <v>250.5035</v>
      </c>
      <c r="L10" s="1">
        <v>212.98599999999999</v>
      </c>
      <c r="M10" s="1">
        <v>176.18879999999999</v>
      </c>
      <c r="N10" s="1">
        <v>140.1405</v>
      </c>
      <c r="O10" s="1">
        <v>104.91970000000001</v>
      </c>
      <c r="P10" s="32">
        <v>80.186840000000004</v>
      </c>
      <c r="Q10" s="1">
        <v>38.252110000000002</v>
      </c>
      <c r="R10" s="1">
        <v>9.6660369999999993</v>
      </c>
    </row>
    <row r="11" spans="1:18" x14ac:dyDescent="0.3">
      <c r="A11" s="3" t="s">
        <v>49</v>
      </c>
      <c r="B11" s="2" t="s">
        <v>5</v>
      </c>
      <c r="C11" s="1">
        <v>225.35310000000001</v>
      </c>
      <c r="D11" s="1">
        <v>268.82749999999999</v>
      </c>
      <c r="E11" s="1">
        <v>311.51209999999998</v>
      </c>
      <c r="F11" s="1">
        <v>353.37959999999998</v>
      </c>
      <c r="G11" s="1">
        <v>394.47989999999999</v>
      </c>
      <c r="H11" s="1">
        <v>434.81970000000001</v>
      </c>
      <c r="I11" s="1">
        <v>474.4502</v>
      </c>
      <c r="J11" s="1">
        <v>513.36450000000002</v>
      </c>
      <c r="K11" s="1">
        <v>551.59050000000002</v>
      </c>
      <c r="L11" s="1">
        <v>589.10789999999997</v>
      </c>
      <c r="M11" s="1">
        <v>625.9049</v>
      </c>
      <c r="N11" s="1">
        <v>661.95330000000001</v>
      </c>
      <c r="O11" s="1">
        <v>697.17430000000002</v>
      </c>
      <c r="P11" s="32">
        <v>721.90700000000004</v>
      </c>
      <c r="Q11" s="1">
        <v>763.84190000000001</v>
      </c>
      <c r="R11" s="1">
        <v>792.42780000000005</v>
      </c>
    </row>
    <row r="12" spans="1:18" ht="18" x14ac:dyDescent="0.4">
      <c r="A12" s="3" t="s">
        <v>19</v>
      </c>
      <c r="B12" s="2" t="s">
        <v>8</v>
      </c>
      <c r="C12" s="30">
        <f>(C9-C10)/C9*100</f>
        <v>28.095604279698964</v>
      </c>
      <c r="D12" s="30">
        <f t="shared" ref="D12:R12" si="1">(D9-D10)/D9*100</f>
        <v>33.515718485793059</v>
      </c>
      <c r="E12" s="30">
        <f t="shared" si="1"/>
        <v>38.83735293802296</v>
      </c>
      <c r="F12" s="30">
        <f t="shared" si="1"/>
        <v>44.057141446549018</v>
      </c>
      <c r="G12" s="30">
        <f t="shared" si="1"/>
        <v>49.181267826780356</v>
      </c>
      <c r="H12" s="30">
        <f t="shared" si="1"/>
        <v>54.210579859861774</v>
      </c>
      <c r="I12" s="30">
        <f t="shared" si="1"/>
        <v>59.151460839118819</v>
      </c>
      <c r="J12" s="30">
        <f t="shared" si="1"/>
        <v>64.003038048667122</v>
      </c>
      <c r="K12" s="30">
        <f t="shared" si="1"/>
        <v>68.768802352044105</v>
      </c>
      <c r="L12" s="30">
        <f t="shared" si="1"/>
        <v>73.446247807924721</v>
      </c>
      <c r="M12" s="30">
        <f t="shared" si="1"/>
        <v>78.03389079930551</v>
      </c>
      <c r="N12" s="30">
        <f t="shared" si="1"/>
        <v>82.528165658430481</v>
      </c>
      <c r="O12" s="30">
        <f t="shared" si="1"/>
        <v>86.919273032655269</v>
      </c>
      <c r="P12" s="32">
        <f t="shared" si="1"/>
        <v>90.00281014514762</v>
      </c>
      <c r="Q12" s="30">
        <f t="shared" si="1"/>
        <v>95.230967999004605</v>
      </c>
      <c r="R12" s="30">
        <f t="shared" si="1"/>
        <v>98.794899424481287</v>
      </c>
    </row>
    <row r="13" spans="1:18" x14ac:dyDescent="0.3">
      <c r="A13" s="3" t="s">
        <v>20</v>
      </c>
      <c r="B13" s="2" t="s">
        <v>1</v>
      </c>
      <c r="C13" s="1">
        <v>42.172199999999997</v>
      </c>
      <c r="D13" s="1">
        <v>44.732419999999998</v>
      </c>
      <c r="E13" s="1">
        <v>46.873159999999999</v>
      </c>
      <c r="F13" s="1">
        <v>48.688960000000002</v>
      </c>
      <c r="G13" s="1">
        <v>50.248570000000001</v>
      </c>
      <c r="H13" s="1">
        <v>51.601179999999999</v>
      </c>
      <c r="I13" s="1">
        <v>52.7834</v>
      </c>
      <c r="J13" s="1">
        <v>53.820590000000003</v>
      </c>
      <c r="K13" s="1">
        <v>54.734009999999998</v>
      </c>
      <c r="L13" s="1">
        <v>55.536799999999999</v>
      </c>
      <c r="M13" s="1">
        <v>56.23883</v>
      </c>
      <c r="N13" s="1">
        <v>56.843150000000001</v>
      </c>
      <c r="O13" s="1">
        <v>57.34845</v>
      </c>
      <c r="P13" s="32">
        <v>57.640680000000003</v>
      </c>
      <c r="Q13" s="1">
        <v>57.949680000000001</v>
      </c>
      <c r="R13" s="1">
        <v>57.736640000000001</v>
      </c>
    </row>
    <row r="14" spans="1:18" ht="18" x14ac:dyDescent="0.4">
      <c r="A14" s="3" t="s">
        <v>21</v>
      </c>
      <c r="B14" s="2" t="s">
        <v>1</v>
      </c>
      <c r="C14" s="1">
        <v>18.701090000000001</v>
      </c>
      <c r="D14" s="1">
        <v>20.040679999999998</v>
      </c>
      <c r="E14" s="1">
        <v>21.48077</v>
      </c>
      <c r="F14" s="1">
        <v>22.94924</v>
      </c>
      <c r="G14" s="1">
        <v>24.40859</v>
      </c>
      <c r="H14" s="1">
        <v>25.836069999999999</v>
      </c>
      <c r="I14" s="1">
        <v>27.224350000000001</v>
      </c>
      <c r="J14" s="1">
        <v>28.56794</v>
      </c>
      <c r="K14" s="1">
        <v>29.867370000000001</v>
      </c>
      <c r="L14" s="1">
        <v>31.12846</v>
      </c>
      <c r="M14" s="1">
        <v>32.3553</v>
      </c>
      <c r="N14" s="1">
        <v>33.561459999999997</v>
      </c>
      <c r="O14" s="1">
        <v>34.761679999999998</v>
      </c>
      <c r="P14" s="32">
        <v>35.640619999999998</v>
      </c>
      <c r="Q14" s="1">
        <v>37.31438</v>
      </c>
      <c r="R14" s="1">
        <v>39.048589999999997</v>
      </c>
    </row>
    <row r="15" spans="1:18" x14ac:dyDescent="0.3">
      <c r="A15" s="3" t="s">
        <v>70</v>
      </c>
      <c r="B15" s="2" t="s">
        <v>5</v>
      </c>
      <c r="C15" s="1">
        <f>0.04405784+0.0009268197</f>
        <v>4.4984659699999999E-2</v>
      </c>
      <c r="D15" s="1">
        <f>0.06266642+0.001357066</f>
        <v>6.4023486000000004E-2</v>
      </c>
      <c r="E15" s="1">
        <f>0.08442106+0.001863553</f>
        <v>8.628461300000001E-2</v>
      </c>
      <c r="F15" s="1">
        <f>0.1091969+0.002438668</f>
        <v>0.111635568</v>
      </c>
      <c r="G15" s="1">
        <f>0.1369713+0.003075969</f>
        <v>0.140047269</v>
      </c>
      <c r="H15" s="1">
        <f>0.1678173+0.003769976</f>
        <v>0.17158727600000001</v>
      </c>
      <c r="I15" s="1">
        <f>0.201875+0.004516042</f>
        <v>0.206391042</v>
      </c>
      <c r="J15" s="1">
        <f>0.2397558+0.005313978</f>
        <v>0.24506977799999999</v>
      </c>
      <c r="K15" s="1">
        <f>0.2818867+0.0061613</f>
        <v>0.28804799999999997</v>
      </c>
      <c r="L15" s="1">
        <f>0.3293289+0.007059842</f>
        <v>0.33638874199999996</v>
      </c>
      <c r="M15" s="1">
        <f>0.3838527+0.00801602</f>
        <v>0.39186872</v>
      </c>
      <c r="N15" s="1">
        <f>0.4482661+0.009038602</f>
        <v>0.45730470200000001</v>
      </c>
      <c r="O15" s="1">
        <f>0.5277199+0.01014587</f>
        <v>0.53786577000000002</v>
      </c>
      <c r="P15" s="32">
        <f>0.6011353+0.01101933</f>
        <v>0.61215463000000003</v>
      </c>
      <c r="Q15" s="1">
        <f>0.7997945+0.0127988</f>
        <v>0.81259329999999996</v>
      </c>
      <c r="R15" s="1">
        <f>1.160653+0.01452021</f>
        <v>1.1751732099999999</v>
      </c>
    </row>
    <row r="16" spans="1:18" ht="18" x14ac:dyDescent="0.4">
      <c r="A16" s="3" t="s">
        <v>22</v>
      </c>
      <c r="B16" s="2" t="s">
        <v>71</v>
      </c>
      <c r="C16" s="1">
        <f>5120.497/(4133.232+4803.598)</f>
        <v>0.57296569365199967</v>
      </c>
      <c r="D16" s="1">
        <f>6108.328/(4959.718+5764.314)</f>
        <v>0.56959248163377363</v>
      </c>
      <c r="E16" s="1">
        <f>7078.211/(5786.153+6725.032)</f>
        <v>0.56575064632167138</v>
      </c>
      <c r="F16" s="1">
        <f>8029.53/(6612.537+7685.747)</f>
        <v>0.56157298316357407</v>
      </c>
      <c r="G16" s="1">
        <f>8963.414/(7438.874+8646.463)</f>
        <v>0.55724129373229803</v>
      </c>
      <c r="H16" s="1">
        <f>9880.021/(8265.159+9607.179)</f>
        <v>0.55281077383384314</v>
      </c>
      <c r="I16" s="1">
        <f>10780.51/(9091.393+10567.89)</f>
        <v>0.54836740485398172</v>
      </c>
      <c r="J16" s="1">
        <f>11664.72/(9917.563+11528.61)</f>
        <v>0.54390683130272233</v>
      </c>
      <c r="K16" s="1">
        <f>12533.3/(10743.67+12489.32)</f>
        <v>0.53946134354639674</v>
      </c>
      <c r="L16" s="1">
        <f>13385.77/(11569.68+13450.03)</f>
        <v>0.5350089989052631</v>
      </c>
      <c r="M16" s="1">
        <f>14221.88/(12395.58+14410.74)</f>
        <v>0.5305420512774599</v>
      </c>
      <c r="N16" s="1">
        <f>15040.98/(13221.31+15371.46)</f>
        <v>0.52604137339614176</v>
      </c>
      <c r="O16" s="1">
        <f>15841.27/(14046.8+16332.17)</f>
        <v>0.52145513820909661</v>
      </c>
      <c r="P16" s="32">
        <f>16403.25/(14641.72+17024.84)</f>
        <v>0.51799911326017101</v>
      </c>
      <c r="Q16" s="1">
        <f>17356.1/(15695.93+18253.59)</f>
        <v>0.51123255939995604</v>
      </c>
      <c r="R16" s="1">
        <f>18005.63/(16516.81+16516.81)</f>
        <v>0.54506984096808042</v>
      </c>
    </row>
    <row r="17" spans="1:18" ht="18" x14ac:dyDescent="0.4">
      <c r="A17" s="3" t="s">
        <v>23</v>
      </c>
      <c r="B17" s="2" t="s">
        <v>1</v>
      </c>
      <c r="C17" s="1">
        <v>65</v>
      </c>
      <c r="D17" s="1">
        <v>65</v>
      </c>
      <c r="E17" s="1">
        <v>65</v>
      </c>
      <c r="F17" s="1">
        <v>65</v>
      </c>
      <c r="G17" s="1">
        <v>65</v>
      </c>
      <c r="H17" s="1">
        <v>65</v>
      </c>
      <c r="I17" s="1">
        <v>65</v>
      </c>
      <c r="J17" s="1">
        <v>65</v>
      </c>
      <c r="K17" s="1">
        <v>65</v>
      </c>
      <c r="L17" s="1">
        <v>65</v>
      </c>
      <c r="M17" s="1">
        <v>65</v>
      </c>
      <c r="N17" s="1">
        <v>65</v>
      </c>
      <c r="O17" s="1">
        <v>65</v>
      </c>
      <c r="P17" s="32">
        <v>65</v>
      </c>
      <c r="Q17" s="1">
        <v>65</v>
      </c>
      <c r="R17" s="1">
        <v>65</v>
      </c>
    </row>
    <row r="18" spans="1:18" ht="18" x14ac:dyDescent="0.4">
      <c r="A18" s="3" t="s">
        <v>24</v>
      </c>
      <c r="B18" s="2" t="s">
        <v>71</v>
      </c>
      <c r="C18" s="1">
        <v>0.21</v>
      </c>
      <c r="D18" s="1">
        <v>0.21</v>
      </c>
      <c r="E18" s="1">
        <v>0.21</v>
      </c>
      <c r="F18" s="1">
        <v>0.21</v>
      </c>
      <c r="G18" s="1">
        <v>0.21</v>
      </c>
      <c r="H18" s="1">
        <v>0.21</v>
      </c>
      <c r="I18" s="1">
        <v>0.21</v>
      </c>
      <c r="J18" s="1">
        <v>0.21</v>
      </c>
      <c r="K18" s="1">
        <v>0.21</v>
      </c>
      <c r="L18" s="1">
        <v>0.21</v>
      </c>
      <c r="M18" s="1">
        <v>0.21</v>
      </c>
      <c r="N18" s="1">
        <v>0.21</v>
      </c>
      <c r="O18" s="1">
        <v>0.21</v>
      </c>
      <c r="P18" s="32">
        <v>0.21</v>
      </c>
      <c r="Q18" s="1">
        <v>0.21</v>
      </c>
      <c r="R18" s="1">
        <v>0.21</v>
      </c>
    </row>
    <row r="19" spans="1:18" x14ac:dyDescent="0.3">
      <c r="A19" s="3" t="s">
        <v>25</v>
      </c>
      <c r="B19" s="2" t="s">
        <v>10</v>
      </c>
      <c r="C19" s="30">
        <v>897.06799999999998</v>
      </c>
      <c r="D19" s="30">
        <v>1078.8499999999999</v>
      </c>
      <c r="E19" s="30">
        <v>1261.05</v>
      </c>
      <c r="F19" s="30">
        <v>1443.65</v>
      </c>
      <c r="G19" s="30">
        <v>1626.56</v>
      </c>
      <c r="H19" s="30">
        <v>1809.85</v>
      </c>
      <c r="I19" s="30">
        <v>1993.51</v>
      </c>
      <c r="J19" s="30">
        <v>2177.46</v>
      </c>
      <c r="K19" s="30">
        <v>2361.6</v>
      </c>
      <c r="L19" s="30">
        <v>2545.7800000000002</v>
      </c>
      <c r="M19" s="30">
        <v>2729.79</v>
      </c>
      <c r="N19" s="30">
        <v>2912.29</v>
      </c>
      <c r="O19" s="30">
        <v>3093.67</v>
      </c>
      <c r="P19" s="32">
        <v>3223.76</v>
      </c>
      <c r="Q19" s="30">
        <v>3453.7</v>
      </c>
      <c r="R19" s="30">
        <v>3631.77</v>
      </c>
    </row>
    <row r="20" spans="1:18" ht="18" x14ac:dyDescent="0.4">
      <c r="A20" s="3" t="s">
        <v>26</v>
      </c>
      <c r="B20" s="2" t="s">
        <v>1</v>
      </c>
      <c r="C20" s="1">
        <v>122.38890000000001</v>
      </c>
      <c r="D20" s="1">
        <v>122.3687</v>
      </c>
      <c r="E20" s="1">
        <v>122.3515</v>
      </c>
      <c r="F20" s="1">
        <v>122.3356</v>
      </c>
      <c r="G20" s="1">
        <v>122.321</v>
      </c>
      <c r="H20" s="1">
        <v>122.3073</v>
      </c>
      <c r="I20" s="1">
        <v>122.2944</v>
      </c>
      <c r="J20" s="1">
        <v>122.2822</v>
      </c>
      <c r="K20" s="1">
        <v>122.2705</v>
      </c>
      <c r="L20" s="1">
        <v>122.2591</v>
      </c>
      <c r="M20" s="1">
        <v>122.24850000000001</v>
      </c>
      <c r="N20" s="1">
        <v>122.23860000000001</v>
      </c>
      <c r="O20" s="1">
        <v>122.2294</v>
      </c>
      <c r="P20" s="32">
        <v>122.2227</v>
      </c>
      <c r="Q20" s="1">
        <v>122.21</v>
      </c>
      <c r="R20" s="1">
        <v>122.19670000000001</v>
      </c>
    </row>
    <row r="21" spans="1:18" x14ac:dyDescent="0.3">
      <c r="A21" s="3" t="s">
        <v>72</v>
      </c>
      <c r="B21" s="2" t="s">
        <v>5</v>
      </c>
      <c r="C21" s="1">
        <f>0.05671945+0.002253437</f>
        <v>5.8972886999999995E-2</v>
      </c>
      <c r="D21" s="1">
        <f>0.06735941+0.002676181</f>
        <v>7.0035590999999994E-2</v>
      </c>
      <c r="E21" s="1">
        <f>0.07785415+0.003093316</f>
        <v>8.0947465999999996E-2</v>
      </c>
      <c r="F21" s="1">
        <f>0.08819254+0.003504407</f>
        <v>9.1696947000000001E-2</v>
      </c>
      <c r="G21" s="1">
        <f>0.09839814+0.00391039</f>
        <v>0.10230852999999999</v>
      </c>
      <c r="H21" s="1">
        <f>0.1084374+0.004309874</f>
        <v>0.11274727400000001</v>
      </c>
      <c r="I21" s="1">
        <f>0.118474+0.004709532</f>
        <v>0.123183532</v>
      </c>
      <c r="J21" s="1">
        <f>0.1283999+0.005104969</f>
        <v>0.133504869</v>
      </c>
      <c r="K21" s="1">
        <f>0.138195+0.005495334</f>
        <v>0.143690334</v>
      </c>
      <c r="L21" s="1">
        <f>0.147974+0.005885324</f>
        <v>0.15385932399999999</v>
      </c>
      <c r="M21" s="1">
        <f>0.1583586+0.006300237</f>
        <v>0.164658837</v>
      </c>
      <c r="N21" s="1">
        <f>0.1703999+0.006783359</f>
        <v>0.17718325899999998</v>
      </c>
      <c r="O21" s="1">
        <f>0.1844418+0.007348397</f>
        <v>0.191790197</v>
      </c>
      <c r="P21" s="32">
        <f>0.1952534+0.007784109</f>
        <v>0.203037509</v>
      </c>
      <c r="Q21" s="1">
        <f>0.2162312+0.008631404</f>
        <v>0.22486260400000002</v>
      </c>
      <c r="R21" s="1">
        <f>0.2358243+0.009426937</f>
        <v>0.24525123699999998</v>
      </c>
    </row>
    <row r="22" spans="1:18" x14ac:dyDescent="0.3">
      <c r="A22" s="3" t="s">
        <v>73</v>
      </c>
      <c r="B22" s="2" t="s">
        <v>5</v>
      </c>
      <c r="C22" s="1">
        <f>C21+C15</f>
        <v>0.10395754669999999</v>
      </c>
      <c r="D22" s="1">
        <f t="shared" ref="D22:R22" si="2">D21+D15</f>
        <v>0.134059077</v>
      </c>
      <c r="E22" s="1">
        <f t="shared" si="2"/>
        <v>0.16723207900000001</v>
      </c>
      <c r="F22" s="1">
        <f t="shared" si="2"/>
        <v>0.20333251499999999</v>
      </c>
      <c r="G22" s="1">
        <f t="shared" si="2"/>
        <v>0.24235579899999998</v>
      </c>
      <c r="H22" s="1">
        <f t="shared" si="2"/>
        <v>0.28433455000000002</v>
      </c>
      <c r="I22" s="1">
        <f t="shared" si="2"/>
        <v>0.32957457400000001</v>
      </c>
      <c r="J22" s="1">
        <f t="shared" si="2"/>
        <v>0.37857464699999999</v>
      </c>
      <c r="K22" s="1">
        <f t="shared" si="2"/>
        <v>0.43173833399999995</v>
      </c>
      <c r="L22" s="1">
        <f t="shared" si="2"/>
        <v>0.49024806599999993</v>
      </c>
      <c r="M22" s="1">
        <f t="shared" si="2"/>
        <v>0.55652755700000001</v>
      </c>
      <c r="N22" s="1">
        <f t="shared" si="2"/>
        <v>0.63448796100000004</v>
      </c>
      <c r="O22" s="1">
        <f t="shared" si="2"/>
        <v>0.72965596700000002</v>
      </c>
      <c r="P22" s="32">
        <f t="shared" si="2"/>
        <v>0.81519213900000009</v>
      </c>
      <c r="Q22" s="1">
        <f t="shared" si="2"/>
        <v>1.037455904</v>
      </c>
      <c r="R22" s="1">
        <f t="shared" si="2"/>
        <v>1.4204244469999998</v>
      </c>
    </row>
    <row r="23" spans="1:18" x14ac:dyDescent="0.3">
      <c r="A23" s="3" t="s">
        <v>74</v>
      </c>
      <c r="B23" s="2" t="s">
        <v>52</v>
      </c>
      <c r="C23" s="1">
        <f>C22/C11*1000</f>
        <v>0.46130959236859836</v>
      </c>
      <c r="D23" s="1">
        <f t="shared" ref="D23:R23" si="3">D22/D11*1000</f>
        <v>0.49868066697045504</v>
      </c>
      <c r="E23" s="1">
        <f t="shared" si="3"/>
        <v>0.53683975357618541</v>
      </c>
      <c r="F23" s="1">
        <f t="shared" si="3"/>
        <v>0.57539403802596412</v>
      </c>
      <c r="G23" s="1">
        <f t="shared" si="3"/>
        <v>0.61436792850535604</v>
      </c>
      <c r="H23" s="1">
        <f t="shared" si="3"/>
        <v>0.65391367962399127</v>
      </c>
      <c r="I23" s="1">
        <f t="shared" si="3"/>
        <v>0.69464524200853961</v>
      </c>
      <c r="J23" s="1">
        <f t="shared" si="3"/>
        <v>0.73743830553144984</v>
      </c>
      <c r="K23" s="1">
        <f t="shared" si="3"/>
        <v>0.78271531870110156</v>
      </c>
      <c r="L23" s="1">
        <f t="shared" si="3"/>
        <v>0.83218722071118034</v>
      </c>
      <c r="M23" s="1">
        <f t="shared" si="3"/>
        <v>0.88915673451350197</v>
      </c>
      <c r="N23" s="1">
        <f t="shared" si="3"/>
        <v>0.95850864554946702</v>
      </c>
      <c r="O23" s="1">
        <f t="shared" si="3"/>
        <v>1.0465904537789188</v>
      </c>
      <c r="P23" s="32">
        <f t="shared" si="3"/>
        <v>1.1292204383667148</v>
      </c>
      <c r="Q23" s="1">
        <f t="shared" si="3"/>
        <v>1.3582076395652032</v>
      </c>
      <c r="R23" s="1">
        <f t="shared" si="3"/>
        <v>1.7924969908930501</v>
      </c>
    </row>
    <row r="24" spans="1:18" x14ac:dyDescent="0.3">
      <c r="A24" s="3" t="s">
        <v>34</v>
      </c>
      <c r="B24" s="2" t="s">
        <v>28</v>
      </c>
      <c r="C24" s="1">
        <f>C19/C11</f>
        <v>3.980721809462572</v>
      </c>
      <c r="D24" s="1">
        <f t="shared" ref="D24:R24" si="4">D19/D11</f>
        <v>4.0131682956542765</v>
      </c>
      <c r="E24" s="1">
        <f t="shared" si="4"/>
        <v>4.0481573588955291</v>
      </c>
      <c r="F24" s="1">
        <f t="shared" si="4"/>
        <v>4.085266948063782</v>
      </c>
      <c r="G24" s="1">
        <f t="shared" si="4"/>
        <v>4.1233026067994842</v>
      </c>
      <c r="H24" s="1">
        <f t="shared" si="4"/>
        <v>4.1622999141943193</v>
      </c>
      <c r="I24" s="1">
        <f t="shared" si="4"/>
        <v>4.2017265457997492</v>
      </c>
      <c r="J24" s="1">
        <f t="shared" si="4"/>
        <v>4.2415476722679495</v>
      </c>
      <c r="K24" s="1">
        <f t="shared" si="4"/>
        <v>4.2814370443290803</v>
      </c>
      <c r="L24" s="1">
        <f t="shared" si="4"/>
        <v>4.3214154826306022</v>
      </c>
      <c r="M24" s="1">
        <f t="shared" si="4"/>
        <v>4.3613494637923429</v>
      </c>
      <c r="N24" s="1">
        <f t="shared" si="4"/>
        <v>4.3995399675475593</v>
      </c>
      <c r="O24" s="1">
        <f t="shared" si="4"/>
        <v>4.4374412539303298</v>
      </c>
      <c r="P24" s="32">
        <f t="shared" si="4"/>
        <v>4.4656167622699323</v>
      </c>
      <c r="Q24" s="1">
        <f t="shared" si="4"/>
        <v>4.5214854016256503</v>
      </c>
      <c r="R24" s="1">
        <f t="shared" si="4"/>
        <v>4.5830926173968152</v>
      </c>
    </row>
    <row r="25" spans="1:18" x14ac:dyDescent="0.3">
      <c r="A25" s="150" t="s">
        <v>27</v>
      </c>
      <c r="B25" s="12" t="s">
        <v>36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32"/>
      <c r="Q25" s="1"/>
      <c r="R25" s="1"/>
    </row>
    <row r="26" spans="1:18" x14ac:dyDescent="0.3">
      <c r="A26" s="150"/>
      <c r="B26" s="2" t="s">
        <v>11</v>
      </c>
      <c r="C26" s="1">
        <v>0.74886169999999996</v>
      </c>
      <c r="D26" s="1">
        <v>0.74857010000000002</v>
      </c>
      <c r="E26" s="1">
        <v>0.74816159999999998</v>
      </c>
      <c r="F26" s="1">
        <v>0.74767110000000003</v>
      </c>
      <c r="G26" s="1">
        <v>0.74711539999999999</v>
      </c>
      <c r="H26" s="1">
        <v>0.74654419999999999</v>
      </c>
      <c r="I26" s="1">
        <v>0.74583840000000001</v>
      </c>
      <c r="J26" s="1">
        <v>0.7451082</v>
      </c>
      <c r="K26" s="1">
        <v>0.74437869999999995</v>
      </c>
      <c r="L26" s="1">
        <v>0.74357059999999997</v>
      </c>
      <c r="M26" s="1">
        <v>0.74229999999999996</v>
      </c>
      <c r="N26" s="1">
        <v>0.74002920000000005</v>
      </c>
      <c r="O26" s="1">
        <v>0.73672000000000004</v>
      </c>
      <c r="P26" s="32">
        <v>0.73405520000000002</v>
      </c>
      <c r="Q26" s="1">
        <v>0.72852799999999995</v>
      </c>
      <c r="R26" s="1">
        <v>0.72235479999999996</v>
      </c>
    </row>
    <row r="27" spans="1:18" x14ac:dyDescent="0.3">
      <c r="A27" s="150"/>
      <c r="B27" s="2" t="s">
        <v>12</v>
      </c>
      <c r="C27" s="1">
        <v>2.0063780000000001E-3</v>
      </c>
      <c r="D27" s="1">
        <v>1.898423E-3</v>
      </c>
      <c r="E27" s="1">
        <v>1.789393E-3</v>
      </c>
      <c r="F27" s="1">
        <v>1.6863049999999999E-3</v>
      </c>
      <c r="G27" s="1">
        <v>1.5913290000000001E-3</v>
      </c>
      <c r="H27" s="1">
        <v>1.5052869999999999E-3</v>
      </c>
      <c r="I27" s="1">
        <v>1.4272410000000001E-3</v>
      </c>
      <c r="J27" s="1">
        <v>1.356887E-3</v>
      </c>
      <c r="K27" s="1">
        <v>1.293301E-3</v>
      </c>
      <c r="L27" s="1">
        <v>1.2353959999999999E-3</v>
      </c>
      <c r="M27" s="1">
        <v>1.1817939999999999E-3</v>
      </c>
      <c r="N27" s="1">
        <v>1.130703E-3</v>
      </c>
      <c r="O27" s="1">
        <v>1.081339E-3</v>
      </c>
      <c r="P27" s="32">
        <v>1.046789E-3</v>
      </c>
      <c r="Q27" s="1">
        <v>9.8460059999999996E-4</v>
      </c>
      <c r="R27" s="1">
        <v>9.2521669999999999E-4</v>
      </c>
    </row>
    <row r="28" spans="1:18" x14ac:dyDescent="0.3">
      <c r="A28" s="150"/>
      <c r="B28" s="2" t="s">
        <v>13</v>
      </c>
      <c r="C28" s="1">
        <v>1.124706E-4</v>
      </c>
      <c r="D28" s="1">
        <v>1.103504E-4</v>
      </c>
      <c r="E28" s="1">
        <v>1.08117E-4</v>
      </c>
      <c r="F28" s="1">
        <v>1.05964E-4</v>
      </c>
      <c r="G28" s="1">
        <v>1.0395020000000001E-4</v>
      </c>
      <c r="H28" s="1">
        <v>1.021164E-4</v>
      </c>
      <c r="I28" s="1">
        <v>1.0043379999999999E-4</v>
      </c>
      <c r="J28" s="35">
        <v>9.8918829999999994E-5</v>
      </c>
      <c r="K28" s="35">
        <v>9.7555409999999998E-5</v>
      </c>
      <c r="L28" s="35">
        <v>9.6318219999999997E-5</v>
      </c>
      <c r="M28" s="35">
        <v>9.514483E-5</v>
      </c>
      <c r="N28" s="35">
        <v>9.3945039999999999E-5</v>
      </c>
      <c r="O28" s="35">
        <v>9.2701059999999996E-5</v>
      </c>
      <c r="P28" s="36">
        <v>9.1818019999999995E-5</v>
      </c>
      <c r="Q28" s="35">
        <v>9.0205940000000006E-5</v>
      </c>
      <c r="R28" s="35">
        <v>8.8662939999999997E-5</v>
      </c>
    </row>
    <row r="29" spans="1:18" x14ac:dyDescent="0.3">
      <c r="A29" s="150"/>
      <c r="B29" s="2" t="s">
        <v>14</v>
      </c>
      <c r="C29" s="35">
        <v>1.9665869999999999E-5</v>
      </c>
      <c r="D29" s="35">
        <v>1.9293959999999999E-5</v>
      </c>
      <c r="E29" s="35">
        <v>1.8898599999999999E-5</v>
      </c>
      <c r="F29" s="35">
        <v>1.851367E-5</v>
      </c>
      <c r="G29" s="35">
        <v>1.814985E-5</v>
      </c>
      <c r="H29" s="35">
        <v>1.781483E-5</v>
      </c>
      <c r="I29" s="35">
        <v>1.750404E-5</v>
      </c>
      <c r="J29" s="35">
        <v>1.72208E-5</v>
      </c>
      <c r="K29" s="35">
        <v>1.696261E-5</v>
      </c>
      <c r="L29" s="35">
        <v>1.6725250000000001E-5</v>
      </c>
      <c r="M29" s="35">
        <v>1.6498010000000001E-5</v>
      </c>
      <c r="N29" s="35">
        <v>1.6265250000000002E-5</v>
      </c>
      <c r="O29" s="35">
        <v>1.60237E-5</v>
      </c>
      <c r="P29" s="36">
        <v>1.585094E-5</v>
      </c>
      <c r="Q29" s="35">
        <v>1.5532429999999999E-5</v>
      </c>
      <c r="R29" s="35">
        <v>1.5222339999999999E-5</v>
      </c>
    </row>
    <row r="30" spans="1:18" x14ac:dyDescent="0.3">
      <c r="A30" s="150"/>
      <c r="B30" s="2" t="s">
        <v>15</v>
      </c>
      <c r="C30" s="1">
        <v>0.24876390000000001</v>
      </c>
      <c r="D30" s="1">
        <v>0.24916669999999999</v>
      </c>
      <c r="E30" s="1">
        <v>0.2496873</v>
      </c>
      <c r="F30" s="1">
        <v>0.25028349999999999</v>
      </c>
      <c r="G30" s="1">
        <v>0.2509364</v>
      </c>
      <c r="H30" s="1">
        <v>0.25159579999999998</v>
      </c>
      <c r="I30" s="1">
        <v>0.25238110000000002</v>
      </c>
      <c r="J30" s="1">
        <v>0.25318289999999999</v>
      </c>
      <c r="K30" s="1">
        <v>0.25397710000000001</v>
      </c>
      <c r="L30" s="1">
        <v>0.25484370000000001</v>
      </c>
      <c r="M30" s="1">
        <v>0.2561676</v>
      </c>
      <c r="N30" s="1">
        <v>0.25848700000000002</v>
      </c>
      <c r="O30" s="1">
        <v>0.26184079999999998</v>
      </c>
      <c r="P30" s="32">
        <v>0.2645364</v>
      </c>
      <c r="Q30" s="1">
        <v>0.270117</v>
      </c>
      <c r="R30" s="1">
        <v>0.27633930000000001</v>
      </c>
    </row>
    <row r="31" spans="1:18" x14ac:dyDescent="0.3">
      <c r="A31" s="150"/>
      <c r="B31" s="2" t="s">
        <v>0</v>
      </c>
      <c r="C31" s="1">
        <v>2.269428E-4</v>
      </c>
      <c r="D31" s="1">
        <v>2.261137E-4</v>
      </c>
      <c r="E31" s="1">
        <v>2.2572369999999999E-4</v>
      </c>
      <c r="F31" s="1">
        <v>2.2560289999999999E-4</v>
      </c>
      <c r="G31" s="1">
        <v>2.2568269999999999E-4</v>
      </c>
      <c r="H31" s="1">
        <v>2.2584349999999999E-4</v>
      </c>
      <c r="I31" s="1">
        <v>2.263124E-4</v>
      </c>
      <c r="J31" s="1">
        <v>2.2685850000000001E-4</v>
      </c>
      <c r="K31" s="1">
        <v>2.274276E-4</v>
      </c>
      <c r="L31" s="1">
        <v>2.2818050000000001E-4</v>
      </c>
      <c r="M31" s="1">
        <v>2.2987290000000001E-4</v>
      </c>
      <c r="N31" s="1">
        <v>2.3361249999999999E-4</v>
      </c>
      <c r="O31" s="1">
        <v>2.3949020000000001E-4</v>
      </c>
      <c r="P31" s="32">
        <v>2.4432799999999998E-4</v>
      </c>
      <c r="Q31" s="1">
        <v>2.5456969999999998E-4</v>
      </c>
      <c r="R31" s="1">
        <v>2.6624759999999999E-4</v>
      </c>
    </row>
    <row r="32" spans="1:18" x14ac:dyDescent="0.3">
      <c r="A32" s="150"/>
      <c r="B32" s="2" t="s">
        <v>55</v>
      </c>
      <c r="C32" s="35">
        <v>9.0163280000000003E-6</v>
      </c>
      <c r="D32" s="35">
        <v>8.9834680000000004E-6</v>
      </c>
      <c r="E32" s="35">
        <v>8.9684980000000001E-6</v>
      </c>
      <c r="F32" s="35">
        <v>8.9645259999999998E-6</v>
      </c>
      <c r="G32" s="35">
        <v>8.9687409999999999E-6</v>
      </c>
      <c r="H32" s="35">
        <v>8.976212E-6</v>
      </c>
      <c r="I32" s="35">
        <v>8.9962819999999997E-6</v>
      </c>
      <c r="J32" s="35">
        <v>9.0195209999999997E-6</v>
      </c>
      <c r="K32" s="35">
        <v>9.0436749999999994E-6</v>
      </c>
      <c r="L32" s="35">
        <v>9.0753499999999994E-6</v>
      </c>
      <c r="M32" s="35">
        <v>9.1454049999999992E-6</v>
      </c>
      <c r="N32" s="35">
        <v>9.2997589999999998E-6</v>
      </c>
      <c r="O32" s="35">
        <v>9.5415949999999999E-6</v>
      </c>
      <c r="P32" s="36">
        <v>9.7405510000000005E-6</v>
      </c>
      <c r="Q32" s="35">
        <v>1.016178E-5</v>
      </c>
      <c r="R32" s="35">
        <v>1.0643090000000001E-5</v>
      </c>
    </row>
    <row r="33" spans="1:18" x14ac:dyDescent="0.3">
      <c r="A33" s="150" t="s">
        <v>27</v>
      </c>
      <c r="B33" s="12" t="s">
        <v>35</v>
      </c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32"/>
      <c r="Q33" s="1"/>
      <c r="R33" s="1"/>
    </row>
    <row r="34" spans="1:18" x14ac:dyDescent="0.3">
      <c r="A34" s="150"/>
      <c r="B34" s="2" t="s">
        <v>11</v>
      </c>
      <c r="C34" s="1">
        <v>0.55130959999999996</v>
      </c>
      <c r="D34" s="1">
        <v>0.55084599999999995</v>
      </c>
      <c r="E34" s="1">
        <v>0.55022800000000005</v>
      </c>
      <c r="F34" s="1">
        <v>0.54950710000000003</v>
      </c>
      <c r="G34" s="1">
        <v>0.54870730000000001</v>
      </c>
      <c r="H34" s="1">
        <v>0.54789449999999995</v>
      </c>
      <c r="I34" s="1">
        <v>0.54691239999999997</v>
      </c>
      <c r="J34" s="1">
        <v>0.54590550000000004</v>
      </c>
      <c r="K34" s="1">
        <v>0.54490590000000005</v>
      </c>
      <c r="L34" s="1">
        <v>0.54380980000000001</v>
      </c>
      <c r="M34" s="1">
        <v>0.54211690000000001</v>
      </c>
      <c r="N34" s="1">
        <v>0.53913520000000004</v>
      </c>
      <c r="O34" s="1">
        <v>0.53483380000000003</v>
      </c>
      <c r="P34" s="32">
        <v>0.53139519999999996</v>
      </c>
      <c r="Q34" s="1">
        <v>0.52433160000000001</v>
      </c>
      <c r="R34" s="1">
        <v>0.51654549999999999</v>
      </c>
    </row>
    <row r="35" spans="1:18" x14ac:dyDescent="0.3">
      <c r="A35" s="150"/>
      <c r="B35" s="2" t="s">
        <v>12</v>
      </c>
      <c r="C35" s="1">
        <v>1.014699E-3</v>
      </c>
      <c r="D35" s="1">
        <v>9.5966849999999995E-4</v>
      </c>
      <c r="E35" s="1">
        <v>9.0403140000000005E-4</v>
      </c>
      <c r="F35" s="1">
        <v>8.5139139999999998E-4</v>
      </c>
      <c r="G35" s="1">
        <v>8.0286690000000004E-4</v>
      </c>
      <c r="H35" s="1">
        <v>7.5891160000000001E-4</v>
      </c>
      <c r="I35" s="1">
        <v>7.1895360000000003E-4</v>
      </c>
      <c r="J35" s="1">
        <v>6.8292359999999998E-4</v>
      </c>
      <c r="K35" s="1">
        <v>6.5036589999999995E-4</v>
      </c>
      <c r="L35" s="1">
        <v>6.2067130000000004E-4</v>
      </c>
      <c r="M35" s="1">
        <v>5.9290600000000003E-4</v>
      </c>
      <c r="N35" s="1">
        <v>5.6588479999999995E-4</v>
      </c>
      <c r="O35" s="1">
        <v>5.3927309999999998E-4</v>
      </c>
      <c r="P35" s="32">
        <v>5.2056930000000002E-4</v>
      </c>
      <c r="Q35" s="1">
        <v>4.8679989999999998E-4</v>
      </c>
      <c r="R35" s="1">
        <v>4.5449800000000001E-4</v>
      </c>
    </row>
    <row r="36" spans="1:18" x14ac:dyDescent="0.3">
      <c r="A36" s="150"/>
      <c r="B36" s="2" t="s">
        <v>13</v>
      </c>
      <c r="C36" s="1">
        <v>1.300796E-4</v>
      </c>
      <c r="D36" s="1">
        <v>1.2756980000000001E-4</v>
      </c>
      <c r="E36" s="1">
        <v>1.2491579999999999E-4</v>
      </c>
      <c r="F36" s="1">
        <v>1.223481E-4</v>
      </c>
      <c r="G36" s="1">
        <v>1.199374E-4</v>
      </c>
      <c r="H36" s="1">
        <v>1.17737E-4</v>
      </c>
      <c r="I36" s="1">
        <v>1.156989E-4</v>
      </c>
      <c r="J36" s="1">
        <v>1.1385529999999999E-4</v>
      </c>
      <c r="K36" s="1">
        <v>1.121903E-4</v>
      </c>
      <c r="L36" s="1">
        <v>1.106648E-4</v>
      </c>
      <c r="M36" s="1">
        <v>1.091629E-4</v>
      </c>
      <c r="N36" s="1">
        <v>1.0752240000000001E-4</v>
      </c>
      <c r="O36" s="1">
        <v>1.057249E-4</v>
      </c>
      <c r="P36" s="32">
        <v>1.044223E-4</v>
      </c>
      <c r="Q36" s="1">
        <v>1.019932E-4</v>
      </c>
      <c r="R36" s="35">
        <v>9.9603919999999998E-5</v>
      </c>
    </row>
    <row r="37" spans="1:18" x14ac:dyDescent="0.3">
      <c r="A37" s="150"/>
      <c r="B37" s="2" t="s">
        <v>14</v>
      </c>
      <c r="C37" s="35">
        <v>1.9912330000000001E-5</v>
      </c>
      <c r="D37" s="35">
        <v>1.952693E-5</v>
      </c>
      <c r="E37" s="35">
        <v>1.9115769999999999E-5</v>
      </c>
      <c r="F37" s="35">
        <v>1.8714150000000001E-5</v>
      </c>
      <c r="G37" s="35">
        <v>1.8333320000000001E-5</v>
      </c>
      <c r="H37" s="35">
        <v>1.7982000000000002E-5</v>
      </c>
      <c r="I37" s="35">
        <v>1.7653320000000001E-5</v>
      </c>
      <c r="J37" s="35">
        <v>1.7352669999999999E-5</v>
      </c>
      <c r="K37" s="35">
        <v>1.707793E-5</v>
      </c>
      <c r="L37" s="35">
        <v>1.6823349999999999E-5</v>
      </c>
      <c r="M37" s="35">
        <v>1.6571430000000001E-5</v>
      </c>
      <c r="N37" s="35">
        <v>1.629763E-5</v>
      </c>
      <c r="O37" s="35">
        <v>1.5999050000000001E-5</v>
      </c>
      <c r="P37" s="36">
        <v>1.5781880000000001E-5</v>
      </c>
      <c r="Q37" s="35">
        <v>1.5374960000000002E-5</v>
      </c>
      <c r="R37" s="35">
        <v>1.4971119999999999E-5</v>
      </c>
    </row>
    <row r="38" spans="1:18" x14ac:dyDescent="0.3">
      <c r="A38" s="150"/>
      <c r="B38" s="2" t="s">
        <v>15</v>
      </c>
      <c r="C38" s="1">
        <v>0.44740249999999998</v>
      </c>
      <c r="D38" s="1">
        <v>0.4479245</v>
      </c>
      <c r="E38" s="1">
        <v>0.44860159999999999</v>
      </c>
      <c r="F38" s="1">
        <v>0.4493781</v>
      </c>
      <c r="G38" s="1">
        <v>0.4502293</v>
      </c>
      <c r="H38" s="1">
        <v>0.45108860000000001</v>
      </c>
      <c r="I38" s="1">
        <v>0.45211289999999998</v>
      </c>
      <c r="J38" s="1">
        <v>0.4531578</v>
      </c>
      <c r="K38" s="1">
        <v>0.45419179999999998</v>
      </c>
      <c r="L38" s="1">
        <v>0.45531909999999998</v>
      </c>
      <c r="M38" s="1">
        <v>0.45704060000000002</v>
      </c>
      <c r="N38" s="1">
        <v>0.46004970000000001</v>
      </c>
      <c r="O38" s="1">
        <v>0.46437709999999999</v>
      </c>
      <c r="P38" s="32">
        <v>0.46783360000000002</v>
      </c>
      <c r="Q38" s="1">
        <v>0.4749292</v>
      </c>
      <c r="R38" s="1">
        <v>0.48274499999999998</v>
      </c>
    </row>
    <row r="39" spans="1:18" x14ac:dyDescent="0.3">
      <c r="A39" s="150"/>
      <c r="B39" s="2" t="s">
        <v>0</v>
      </c>
      <c r="C39" s="1">
        <v>1.203744E-4</v>
      </c>
      <c r="D39" s="1">
        <v>1.1988050000000001E-4</v>
      </c>
      <c r="E39" s="1">
        <v>1.196047E-4</v>
      </c>
      <c r="F39" s="1">
        <v>1.194624E-4</v>
      </c>
      <c r="G39" s="1">
        <v>1.194195E-4</v>
      </c>
      <c r="H39" s="1">
        <v>1.194188E-4</v>
      </c>
      <c r="I39" s="1">
        <v>1.1956530000000001E-4</v>
      </c>
      <c r="J39" s="1">
        <v>1.197504E-4</v>
      </c>
      <c r="K39" s="1">
        <v>1.1994850000000001E-4</v>
      </c>
      <c r="L39" s="1">
        <v>1.20234E-4</v>
      </c>
      <c r="M39" s="1">
        <v>1.209554E-4</v>
      </c>
      <c r="N39" s="1">
        <v>1.226221E-4</v>
      </c>
      <c r="O39" s="1">
        <v>1.2526449999999999E-4</v>
      </c>
      <c r="P39" s="32">
        <v>1.2743419999999999E-4</v>
      </c>
      <c r="Q39" s="1">
        <v>1.3200500000000001E-4</v>
      </c>
      <c r="R39" s="1">
        <v>1.3717269999999999E-4</v>
      </c>
    </row>
    <row r="40" spans="1:18" x14ac:dyDescent="0.3">
      <c r="A40" s="150"/>
      <c r="B40" s="2" t="s">
        <v>55</v>
      </c>
      <c r="C40" s="35">
        <v>2.7785580000000001E-6</v>
      </c>
      <c r="D40" s="35">
        <v>2.7671810000000001E-6</v>
      </c>
      <c r="E40" s="35">
        <v>2.7609769999999999E-6</v>
      </c>
      <c r="F40" s="35">
        <v>2.7579459999999999E-6</v>
      </c>
      <c r="G40" s="35">
        <v>2.757276E-6</v>
      </c>
      <c r="H40" s="35">
        <v>2.7575939999999999E-6</v>
      </c>
      <c r="I40" s="35">
        <v>2.761416E-6</v>
      </c>
      <c r="J40" s="35">
        <v>2.76616E-6</v>
      </c>
      <c r="K40" s="35">
        <v>2.7712030000000001E-6</v>
      </c>
      <c r="L40" s="35">
        <v>2.7783309999999999E-6</v>
      </c>
      <c r="M40" s="35">
        <v>2.795839E-6</v>
      </c>
      <c r="N40" s="35">
        <v>2.8360660000000002E-6</v>
      </c>
      <c r="O40" s="35">
        <v>2.8995669999999999E-6</v>
      </c>
      <c r="P40" s="36">
        <v>2.9516720000000001E-6</v>
      </c>
      <c r="Q40" s="35">
        <v>3.061437E-6</v>
      </c>
      <c r="R40" s="35">
        <v>3.1858219999999998E-6</v>
      </c>
    </row>
  </sheetData>
  <mergeCells count="2">
    <mergeCell ref="A25:A32"/>
    <mergeCell ref="A33:A40"/>
  </mergeCells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0"/>
  <sheetViews>
    <sheetView topLeftCell="C8" zoomScale="80" zoomScaleNormal="80" workbookViewId="0">
      <selection activeCell="V34" sqref="V34:V40"/>
    </sheetView>
  </sheetViews>
  <sheetFormatPr defaultRowHeight="15.6" x14ac:dyDescent="0.3"/>
  <cols>
    <col min="1" max="1" width="57.69921875" customWidth="1"/>
    <col min="2" max="2" width="29.5" customWidth="1"/>
    <col min="3" max="3" width="10.5" customWidth="1"/>
    <col min="22" max="22" width="8.796875" style="24"/>
  </cols>
  <sheetData>
    <row r="1" spans="1:25" x14ac:dyDescent="0.3">
      <c r="A1" s="61" t="s">
        <v>75</v>
      </c>
      <c r="B1" s="62" t="s">
        <v>8</v>
      </c>
      <c r="C1" s="70" t="s">
        <v>82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25" x14ac:dyDescent="0.3">
      <c r="A2" s="3" t="s">
        <v>17</v>
      </c>
      <c r="B2" s="2" t="s">
        <v>1</v>
      </c>
      <c r="C2" s="58">
        <v>40</v>
      </c>
      <c r="D2" s="58">
        <v>40</v>
      </c>
      <c r="E2" s="58">
        <v>40</v>
      </c>
      <c r="F2" s="58">
        <v>40</v>
      </c>
      <c r="G2" s="58">
        <v>40</v>
      </c>
      <c r="H2" s="58">
        <v>40</v>
      </c>
      <c r="I2" s="58">
        <v>40</v>
      </c>
      <c r="J2" s="58">
        <v>40</v>
      </c>
      <c r="K2" s="58">
        <v>40</v>
      </c>
      <c r="L2" s="58">
        <v>40</v>
      </c>
      <c r="M2" s="58">
        <v>40</v>
      </c>
      <c r="N2" s="58">
        <v>40</v>
      </c>
      <c r="O2" s="58">
        <v>40</v>
      </c>
      <c r="P2" s="58">
        <v>40</v>
      </c>
      <c r="Q2" s="58">
        <v>40</v>
      </c>
      <c r="R2" s="96">
        <v>40</v>
      </c>
      <c r="S2" s="96">
        <v>40</v>
      </c>
      <c r="T2" s="96">
        <v>40</v>
      </c>
      <c r="U2" s="96">
        <v>40</v>
      </c>
      <c r="V2" s="85">
        <v>40</v>
      </c>
      <c r="W2" s="96">
        <v>40</v>
      </c>
      <c r="X2" s="96">
        <v>40</v>
      </c>
      <c r="Y2" s="96">
        <v>40</v>
      </c>
    </row>
    <row r="3" spans="1:25" x14ac:dyDescent="0.3">
      <c r="A3" s="3" t="s">
        <v>16</v>
      </c>
      <c r="B3" s="2" t="s">
        <v>2</v>
      </c>
      <c r="C3" s="58">
        <v>1.0129999999999999</v>
      </c>
      <c r="D3" s="58">
        <v>1.0129999999999999</v>
      </c>
      <c r="E3" s="58">
        <v>1.0129999999999999</v>
      </c>
      <c r="F3" s="58">
        <v>1.0129999999999999</v>
      </c>
      <c r="G3" s="58">
        <v>1.0129999999999999</v>
      </c>
      <c r="H3" s="58">
        <v>1.0129999999999999</v>
      </c>
      <c r="I3" s="58">
        <v>1.0129999999999999</v>
      </c>
      <c r="J3" s="58">
        <v>1.0129999999999999</v>
      </c>
      <c r="K3" s="58">
        <v>1.0129999999999999</v>
      </c>
      <c r="L3" s="58">
        <v>1.0129999999999999</v>
      </c>
      <c r="M3" s="58">
        <v>1.0129999999999999</v>
      </c>
      <c r="N3" s="58">
        <v>1.0129999999999999</v>
      </c>
      <c r="O3" s="58">
        <v>1.0129999999999999</v>
      </c>
      <c r="P3" s="58">
        <v>1.0129999999999999</v>
      </c>
      <c r="Q3" s="58">
        <v>1.0129999999999999</v>
      </c>
      <c r="R3" s="96">
        <v>1.0129999999999999</v>
      </c>
      <c r="S3" s="96">
        <v>1.0129999999999999</v>
      </c>
      <c r="T3" s="96">
        <v>1.0129999999999999</v>
      </c>
      <c r="U3" s="96">
        <v>1.0129999999999999</v>
      </c>
      <c r="V3" s="85">
        <v>1.0129999999999999</v>
      </c>
      <c r="W3" s="96">
        <v>1.0129999999999999</v>
      </c>
      <c r="X3" s="96">
        <v>1.0129999999999999</v>
      </c>
      <c r="Y3" s="96">
        <v>1.0129999999999999</v>
      </c>
    </row>
    <row r="4" spans="1:25" x14ac:dyDescent="0.3">
      <c r="A4" s="3" t="s">
        <v>3</v>
      </c>
      <c r="B4" s="2" t="s">
        <v>1</v>
      </c>
      <c r="C4" s="58">
        <v>40</v>
      </c>
      <c r="D4" s="58">
        <v>40</v>
      </c>
      <c r="E4" s="58">
        <v>40</v>
      </c>
      <c r="F4" s="58">
        <v>40</v>
      </c>
      <c r="G4" s="58">
        <v>40</v>
      </c>
      <c r="H4" s="58">
        <v>40</v>
      </c>
      <c r="I4" s="58">
        <v>40</v>
      </c>
      <c r="J4" s="58">
        <v>40</v>
      </c>
      <c r="K4" s="58">
        <v>40</v>
      </c>
      <c r="L4" s="58">
        <v>40</v>
      </c>
      <c r="M4" s="58">
        <v>40</v>
      </c>
      <c r="N4" s="58">
        <v>40</v>
      </c>
      <c r="O4" s="58">
        <v>40</v>
      </c>
      <c r="P4" s="58">
        <v>40</v>
      </c>
      <c r="Q4" s="58">
        <v>40</v>
      </c>
      <c r="R4" s="96">
        <v>40</v>
      </c>
      <c r="S4" s="96">
        <v>40</v>
      </c>
      <c r="T4" s="96">
        <v>40</v>
      </c>
      <c r="U4" s="96">
        <v>40</v>
      </c>
      <c r="V4" s="85">
        <v>40</v>
      </c>
      <c r="W4" s="96">
        <v>40</v>
      </c>
      <c r="X4" s="96">
        <v>40</v>
      </c>
      <c r="Y4" s="96">
        <v>40</v>
      </c>
    </row>
    <row r="5" spans="1:25" x14ac:dyDescent="0.3">
      <c r="A5" s="3" t="s">
        <v>18</v>
      </c>
      <c r="B5" s="2" t="s">
        <v>2</v>
      </c>
      <c r="C5" s="58">
        <v>1.0129999999999999</v>
      </c>
      <c r="D5" s="58">
        <v>1.0129999999999999</v>
      </c>
      <c r="E5" s="58">
        <v>1.0129999999999999</v>
      </c>
      <c r="F5" s="58">
        <v>1.0129999999999999</v>
      </c>
      <c r="G5" s="58">
        <v>1.0129999999999999</v>
      </c>
      <c r="H5" s="58">
        <v>1.0129999999999999</v>
      </c>
      <c r="I5" s="58">
        <v>1.0129999999999999</v>
      </c>
      <c r="J5" s="58">
        <v>1.0129999999999999</v>
      </c>
      <c r="K5" s="58">
        <v>1.0129999999999999</v>
      </c>
      <c r="L5" s="58">
        <v>1.0129999999999999</v>
      </c>
      <c r="M5" s="58">
        <v>1.0129999999999999</v>
      </c>
      <c r="N5" s="58">
        <v>1.0129999999999999</v>
      </c>
      <c r="O5" s="58">
        <v>1.0129999999999999</v>
      </c>
      <c r="P5" s="58">
        <v>1.0129999999999999</v>
      </c>
      <c r="Q5" s="58">
        <v>1.0129999999999999</v>
      </c>
      <c r="R5" s="96">
        <v>1.0129999999999999</v>
      </c>
      <c r="S5" s="96">
        <v>1.0129999999999999</v>
      </c>
      <c r="T5" s="96">
        <v>1.0129999999999999</v>
      </c>
      <c r="U5" s="96">
        <v>1.0129999999999999</v>
      </c>
      <c r="V5" s="85">
        <v>1.0129999999999999</v>
      </c>
      <c r="W5" s="96">
        <v>1.0129999999999999</v>
      </c>
      <c r="X5" s="96">
        <v>1.0129999999999999</v>
      </c>
      <c r="Y5" s="96">
        <v>1.0129999999999999</v>
      </c>
    </row>
    <row r="6" spans="1:25" x14ac:dyDescent="0.3">
      <c r="A6" s="3" t="s">
        <v>4</v>
      </c>
      <c r="B6" s="2" t="s">
        <v>5</v>
      </c>
      <c r="C6" s="77">
        <f>'MEA 30%'!$C$6</f>
        <v>5050.3680000000004</v>
      </c>
      <c r="D6" s="77">
        <f>'MEA 30%'!$C$6</f>
        <v>5050.3680000000004</v>
      </c>
      <c r="E6" s="77">
        <f>'MEA 30%'!$C$6</f>
        <v>5050.3680000000004</v>
      </c>
      <c r="F6" s="77">
        <f>'MEA 30%'!$C$6</f>
        <v>5050.3680000000004</v>
      </c>
      <c r="G6" s="77">
        <f>'MEA 30%'!$C$6</f>
        <v>5050.3680000000004</v>
      </c>
      <c r="H6" s="77">
        <f>'MEA 30%'!$C$6</f>
        <v>5050.3680000000004</v>
      </c>
      <c r="I6" s="77">
        <f>'MEA 30%'!$C$6</f>
        <v>5050.3680000000004</v>
      </c>
      <c r="J6" s="77">
        <f>'MEA 30%'!$C$6</f>
        <v>5050.3680000000004</v>
      </c>
      <c r="K6" s="77">
        <f>'MEA 30%'!$C$6</f>
        <v>5050.3680000000004</v>
      </c>
      <c r="L6" s="77">
        <f>'MEA 30%'!$C$6</f>
        <v>5050.3680000000004</v>
      </c>
      <c r="M6" s="77">
        <f>'MEA 30%'!$C$6</f>
        <v>5050.3680000000004</v>
      </c>
      <c r="N6" s="77">
        <f>'MEA 30%'!$C$6</f>
        <v>5050.3680000000004</v>
      </c>
      <c r="O6" s="77">
        <f>'MEA 30%'!$C$6</f>
        <v>5050.3680000000004</v>
      </c>
      <c r="P6" s="77">
        <f>'MEA 30%'!$C$6</f>
        <v>5050.3680000000004</v>
      </c>
      <c r="Q6" s="77">
        <f>'MEA 30%'!$C$6</f>
        <v>5050.3680000000004</v>
      </c>
      <c r="R6" s="77">
        <f>'MEA 30%'!$C$6</f>
        <v>5050.3680000000004</v>
      </c>
      <c r="S6" s="77">
        <f>'MEA 30%'!$C$6</f>
        <v>5050.3680000000004</v>
      </c>
      <c r="T6" s="77">
        <f>'MEA 30%'!$C$6</f>
        <v>5050.3680000000004</v>
      </c>
      <c r="U6" s="77">
        <f>'MEA 30%'!$C$6</f>
        <v>5050.3680000000004</v>
      </c>
      <c r="V6" s="86">
        <f>'MEA 30%'!$C$6</f>
        <v>5050.3680000000004</v>
      </c>
      <c r="W6" s="77">
        <f>'MEA 30%'!$C$6</f>
        <v>5050.3680000000004</v>
      </c>
      <c r="X6" s="77">
        <f>'MEA 30%'!$C$6</f>
        <v>5050.3680000000004</v>
      </c>
      <c r="Y6" s="77">
        <f>'MEA 30%'!$C$6</f>
        <v>5050.3680000000004</v>
      </c>
    </row>
    <row r="7" spans="1:25" x14ac:dyDescent="0.3">
      <c r="A7" s="6" t="s">
        <v>6</v>
      </c>
      <c r="B7" s="22" t="s">
        <v>5</v>
      </c>
      <c r="C7" s="31">
        <f>C6*C8</f>
        <v>2525.1840000000002</v>
      </c>
      <c r="D7" s="31">
        <f t="shared" ref="D7:Y7" si="0">D6*D8</f>
        <v>3030.2208000000001</v>
      </c>
      <c r="E7" s="31">
        <f t="shared" si="0"/>
        <v>3535.2575999999999</v>
      </c>
      <c r="F7" s="31">
        <f t="shared" si="0"/>
        <v>4040.2944000000007</v>
      </c>
      <c r="G7" s="31">
        <f t="shared" si="0"/>
        <v>4545.3312000000005</v>
      </c>
      <c r="H7" s="31">
        <f t="shared" si="0"/>
        <v>5050.3680000000004</v>
      </c>
      <c r="I7" s="31">
        <f t="shared" si="0"/>
        <v>5555.4048000000012</v>
      </c>
      <c r="J7" s="31">
        <f t="shared" si="0"/>
        <v>6060.4416000000001</v>
      </c>
      <c r="K7" s="31">
        <f t="shared" si="0"/>
        <v>6565.4784000000009</v>
      </c>
      <c r="L7" s="31">
        <f t="shared" si="0"/>
        <v>7070.5151999999998</v>
      </c>
      <c r="M7" s="31">
        <f t="shared" si="0"/>
        <v>7575.5520000000006</v>
      </c>
      <c r="N7" s="31">
        <f t="shared" si="0"/>
        <v>8080.5888000000014</v>
      </c>
      <c r="O7" s="31">
        <f t="shared" si="0"/>
        <v>8585.6256000000012</v>
      </c>
      <c r="P7" s="31">
        <f t="shared" si="0"/>
        <v>9090.6624000000011</v>
      </c>
      <c r="Q7" s="31">
        <f t="shared" si="0"/>
        <v>9595.6992000000009</v>
      </c>
      <c r="R7" s="31">
        <f t="shared" si="0"/>
        <v>10100.736000000001</v>
      </c>
      <c r="S7" s="31">
        <f t="shared" si="0"/>
        <v>10605.772800000001</v>
      </c>
      <c r="T7" s="31">
        <f t="shared" si="0"/>
        <v>11110.809600000002</v>
      </c>
      <c r="U7" s="31">
        <f t="shared" si="0"/>
        <v>11615.8464</v>
      </c>
      <c r="V7" s="32">
        <f t="shared" si="0"/>
        <v>12083.5104768</v>
      </c>
      <c r="W7" s="31">
        <f t="shared" si="0"/>
        <v>12625.920000000002</v>
      </c>
      <c r="X7" s="31">
        <f t="shared" si="0"/>
        <v>13130.956800000002</v>
      </c>
      <c r="Y7" s="31">
        <f t="shared" si="0"/>
        <v>13635.993600000002</v>
      </c>
    </row>
    <row r="8" spans="1:25" x14ac:dyDescent="0.3">
      <c r="A8" s="3" t="s">
        <v>7</v>
      </c>
      <c r="B8" s="2" t="s">
        <v>29</v>
      </c>
      <c r="C8" s="78">
        <v>0.5</v>
      </c>
      <c r="D8" s="30">
        <v>0.6</v>
      </c>
      <c r="E8" s="78">
        <v>0.7</v>
      </c>
      <c r="F8" s="30">
        <v>0.8</v>
      </c>
      <c r="G8" s="78">
        <v>0.9</v>
      </c>
      <c r="H8" s="30">
        <v>1</v>
      </c>
      <c r="I8" s="78">
        <v>1.1000000000000001</v>
      </c>
      <c r="J8" s="30">
        <v>1.2</v>
      </c>
      <c r="K8" s="78">
        <v>1.3</v>
      </c>
      <c r="L8" s="30">
        <v>1.4</v>
      </c>
      <c r="M8" s="78">
        <v>1.5</v>
      </c>
      <c r="N8" s="30">
        <v>1.6</v>
      </c>
      <c r="O8" s="78">
        <v>1.7</v>
      </c>
      <c r="P8" s="30">
        <v>1.8</v>
      </c>
      <c r="Q8" s="78">
        <v>1.9</v>
      </c>
      <c r="R8" s="49">
        <v>2</v>
      </c>
      <c r="S8" s="100">
        <v>2.1</v>
      </c>
      <c r="T8" s="49">
        <v>2.2000000000000002</v>
      </c>
      <c r="U8" s="100">
        <v>2.2999999999999998</v>
      </c>
      <c r="V8" s="101">
        <v>2.3925999999999998</v>
      </c>
      <c r="W8" s="100">
        <v>2.5</v>
      </c>
      <c r="X8" s="49">
        <v>2.6</v>
      </c>
      <c r="Y8" s="100">
        <v>2.7</v>
      </c>
    </row>
    <row r="9" spans="1:25" ht="18" x14ac:dyDescent="0.4">
      <c r="A9" s="3" t="s">
        <v>32</v>
      </c>
      <c r="B9" s="2" t="s">
        <v>5</v>
      </c>
      <c r="C9" s="1">
        <v>802.09379999999999</v>
      </c>
      <c r="D9" s="1">
        <v>802.09379999999999</v>
      </c>
      <c r="E9" s="1">
        <v>802.09379999999999</v>
      </c>
      <c r="F9" s="1">
        <v>802.09379999999999</v>
      </c>
      <c r="G9" s="1">
        <v>802.09379999999999</v>
      </c>
      <c r="H9" s="1">
        <v>802.09379999999999</v>
      </c>
      <c r="I9" s="1">
        <v>802.09379999999999</v>
      </c>
      <c r="J9" s="1">
        <v>802.09379999999999</v>
      </c>
      <c r="K9" s="1">
        <v>802.09379999999999</v>
      </c>
      <c r="L9" s="1">
        <v>802.09379999999999</v>
      </c>
      <c r="M9" s="1">
        <v>802.09379999999999</v>
      </c>
      <c r="N9" s="1">
        <v>802.09379999999999</v>
      </c>
      <c r="O9" s="1">
        <v>802.09379999999999</v>
      </c>
      <c r="P9" s="1">
        <v>802.09379999999999</v>
      </c>
      <c r="Q9" s="1">
        <v>802.09379999999999</v>
      </c>
      <c r="R9" s="1">
        <v>802.09379999999999</v>
      </c>
      <c r="S9" s="1">
        <v>802.09379999999999</v>
      </c>
      <c r="T9" s="1">
        <v>802.09379999999999</v>
      </c>
      <c r="U9" s="1">
        <v>802.09379999999999</v>
      </c>
      <c r="V9" s="32">
        <v>802.09379999999999</v>
      </c>
      <c r="W9" s="1">
        <v>802.09379999999999</v>
      </c>
      <c r="X9" s="1">
        <v>802.09379999999999</v>
      </c>
      <c r="Y9" s="1">
        <v>802.09379999999999</v>
      </c>
    </row>
    <row r="10" spans="1:25" ht="18" x14ac:dyDescent="0.4">
      <c r="A10" s="3" t="s">
        <v>33</v>
      </c>
      <c r="B10" s="2" t="s">
        <v>5</v>
      </c>
      <c r="C10" s="1">
        <v>612.55510000000004</v>
      </c>
      <c r="D10" s="1">
        <v>577.51390000000004</v>
      </c>
      <c r="E10" s="1">
        <v>543.68299999999999</v>
      </c>
      <c r="F10" s="1">
        <v>510.96550000000002</v>
      </c>
      <c r="G10" s="1">
        <v>479.23090000000002</v>
      </c>
      <c r="H10" s="1">
        <v>448.41609999999997</v>
      </c>
      <c r="I10" s="1">
        <v>418.39800000000002</v>
      </c>
      <c r="J10" s="1">
        <v>389.10500000000002</v>
      </c>
      <c r="K10" s="1">
        <v>360.4778</v>
      </c>
      <c r="L10" s="1">
        <v>332.4579</v>
      </c>
      <c r="M10" s="1">
        <v>304.98340000000002</v>
      </c>
      <c r="N10" s="1">
        <v>278.02730000000003</v>
      </c>
      <c r="O10" s="1">
        <v>251.53720000000001</v>
      </c>
      <c r="P10" s="1">
        <v>225.49449999999999</v>
      </c>
      <c r="Q10" s="1">
        <v>199.88990000000001</v>
      </c>
      <c r="R10" s="97">
        <v>174.71729999999999</v>
      </c>
      <c r="S10" s="97">
        <v>149.9716</v>
      </c>
      <c r="T10" s="97">
        <v>125.61069999999999</v>
      </c>
      <c r="U10" s="97">
        <v>101.7443</v>
      </c>
      <c r="V10" s="24">
        <v>80.145250000000004</v>
      </c>
      <c r="W10" s="97">
        <v>55.78848</v>
      </c>
      <c r="X10" s="97">
        <v>34.173900000000003</v>
      </c>
      <c r="Y10" s="97">
        <v>14.619899999999999</v>
      </c>
    </row>
    <row r="11" spans="1:25" x14ac:dyDescent="0.3">
      <c r="A11" s="3" t="s">
        <v>49</v>
      </c>
      <c r="B11" s="2" t="s">
        <v>5</v>
      </c>
      <c r="C11" s="1">
        <v>189.53870000000001</v>
      </c>
      <c r="D11" s="1">
        <v>224.58</v>
      </c>
      <c r="E11" s="1">
        <v>258.41090000000003</v>
      </c>
      <c r="F11" s="1">
        <v>291.12830000000002</v>
      </c>
      <c r="G11" s="1">
        <v>322.863</v>
      </c>
      <c r="H11" s="1">
        <v>353.67770000000002</v>
      </c>
      <c r="I11" s="1">
        <v>383.69580000000002</v>
      </c>
      <c r="J11" s="1">
        <v>412.98880000000003</v>
      </c>
      <c r="K11" s="1">
        <v>441.61590000000001</v>
      </c>
      <c r="L11" s="1">
        <v>469.63600000000002</v>
      </c>
      <c r="M11" s="1">
        <v>497.11040000000003</v>
      </c>
      <c r="N11" s="1">
        <v>524.06619999999998</v>
      </c>
      <c r="O11" s="1">
        <v>550.5566</v>
      </c>
      <c r="P11" s="1">
        <v>576.5992</v>
      </c>
      <c r="Q11" s="1">
        <v>576.59929999999997</v>
      </c>
      <c r="R11" s="97">
        <v>627.37660000000005</v>
      </c>
      <c r="S11" s="97">
        <v>652.12220000000002</v>
      </c>
      <c r="T11" s="97">
        <v>676.48299999999995</v>
      </c>
      <c r="U11" s="97">
        <v>700.34950000000003</v>
      </c>
      <c r="V11" s="24">
        <v>721.94880000000001</v>
      </c>
      <c r="W11" s="97">
        <v>746.30529999999999</v>
      </c>
      <c r="X11" s="97">
        <v>767.91989999999998</v>
      </c>
      <c r="Y11" s="97">
        <v>787.47389999999996</v>
      </c>
    </row>
    <row r="12" spans="1:25" ht="18" x14ac:dyDescent="0.4">
      <c r="A12" s="3" t="s">
        <v>19</v>
      </c>
      <c r="B12" s="2" t="s">
        <v>8</v>
      </c>
      <c r="C12" s="30">
        <f>(C9-C10)/C9*100</f>
        <v>23.630490598481117</v>
      </c>
      <c r="D12" s="30">
        <f t="shared" ref="D12:Y12" si="1">(D9-D10)/D9*100</f>
        <v>27.999206576587422</v>
      </c>
      <c r="E12" s="30">
        <f t="shared" si="1"/>
        <v>32.217029978289325</v>
      </c>
      <c r="F12" s="30">
        <f t="shared" si="1"/>
        <v>36.296041684900196</v>
      </c>
      <c r="G12" s="30">
        <f t="shared" si="1"/>
        <v>40.252511613978314</v>
      </c>
      <c r="H12" s="30">
        <f t="shared" si="1"/>
        <v>44.094306675852629</v>
      </c>
      <c r="I12" s="30">
        <f t="shared" si="1"/>
        <v>47.836774202717933</v>
      </c>
      <c r="J12" s="30">
        <f t="shared" si="1"/>
        <v>51.488840831334194</v>
      </c>
      <c r="K12" s="30">
        <f t="shared" si="1"/>
        <v>55.05789971197882</v>
      </c>
      <c r="L12" s="30">
        <f t="shared" si="1"/>
        <v>58.551244255971056</v>
      </c>
      <c r="M12" s="30">
        <f t="shared" si="1"/>
        <v>61.976591765202514</v>
      </c>
      <c r="N12" s="30">
        <f t="shared" si="1"/>
        <v>65.337308429512845</v>
      </c>
      <c r="O12" s="30">
        <f t="shared" si="1"/>
        <v>68.639927150664931</v>
      </c>
      <c r="P12" s="30">
        <f t="shared" si="1"/>
        <v>71.886766859437131</v>
      </c>
      <c r="Q12" s="30">
        <f t="shared" si="1"/>
        <v>75.078987021218708</v>
      </c>
      <c r="R12" s="30">
        <f t="shared" si="1"/>
        <v>78.217348145566007</v>
      </c>
      <c r="S12" s="30">
        <f t="shared" si="1"/>
        <v>81.302486068337643</v>
      </c>
      <c r="T12" s="30">
        <f t="shared" si="1"/>
        <v>84.33964955220948</v>
      </c>
      <c r="U12" s="30">
        <f t="shared" si="1"/>
        <v>87.315161892536764</v>
      </c>
      <c r="V12" s="32">
        <f t="shared" si="1"/>
        <v>90.007995324237626</v>
      </c>
      <c r="W12" s="30">
        <f t="shared" si="1"/>
        <v>93.044643905737701</v>
      </c>
      <c r="X12" s="30">
        <f t="shared" si="1"/>
        <v>95.73941351996487</v>
      </c>
      <c r="Y12" s="30">
        <f t="shared" si="1"/>
        <v>98.177283006052406</v>
      </c>
    </row>
    <row r="13" spans="1:25" x14ac:dyDescent="0.3">
      <c r="A13" s="3" t="s">
        <v>20</v>
      </c>
      <c r="B13" s="2" t="s">
        <v>1</v>
      </c>
      <c r="C13" s="1">
        <v>39.509369999999997</v>
      </c>
      <c r="D13" s="1">
        <v>41.81335</v>
      </c>
      <c r="E13" s="1">
        <v>43.724049999999998</v>
      </c>
      <c r="F13" s="1">
        <v>45.33352</v>
      </c>
      <c r="G13" s="1">
        <v>46.707419999999999</v>
      </c>
      <c r="H13" s="1">
        <v>47.893389999999997</v>
      </c>
      <c r="I13" s="1">
        <v>48.926589999999997</v>
      </c>
      <c r="J13" s="1">
        <v>49.833370000000002</v>
      </c>
      <c r="K13" s="1">
        <v>50.632550000000002</v>
      </c>
      <c r="L13" s="1">
        <v>51.340260000000001</v>
      </c>
      <c r="M13" s="1">
        <v>51.969149999999999</v>
      </c>
      <c r="N13" s="1">
        <v>52.528100000000002</v>
      </c>
      <c r="O13" s="1">
        <v>53.024650000000001</v>
      </c>
      <c r="P13" s="1">
        <v>53.464619999999996</v>
      </c>
      <c r="Q13" s="1">
        <v>53.852499999999999</v>
      </c>
      <c r="R13" s="97">
        <v>54.19097</v>
      </c>
      <c r="S13" s="97">
        <v>54.481670000000001</v>
      </c>
      <c r="T13" s="97">
        <v>54.725839999999998</v>
      </c>
      <c r="U13" s="97">
        <v>54.919589999999999</v>
      </c>
      <c r="V13" s="24">
        <v>55.046750000000003</v>
      </c>
      <c r="W13" s="97">
        <v>55.11674</v>
      </c>
      <c r="X13" s="97">
        <v>55.06859</v>
      </c>
      <c r="Y13" s="97">
        <v>54.793349999999997</v>
      </c>
    </row>
    <row r="14" spans="1:25" ht="18" x14ac:dyDescent="0.4">
      <c r="A14" s="3" t="s">
        <v>21</v>
      </c>
      <c r="B14" s="2" t="s">
        <v>1</v>
      </c>
      <c r="C14" s="1">
        <v>18.81052</v>
      </c>
      <c r="D14" s="1">
        <v>20.171700000000001</v>
      </c>
      <c r="E14" s="1">
        <v>21.58287</v>
      </c>
      <c r="F14" s="1">
        <v>22.982610000000001</v>
      </c>
      <c r="G14" s="1">
        <v>24.342030000000001</v>
      </c>
      <c r="H14" s="1">
        <v>25.643609999999999</v>
      </c>
      <c r="I14" s="1">
        <v>26.88411</v>
      </c>
      <c r="J14" s="1">
        <v>28.063310000000001</v>
      </c>
      <c r="K14" s="1">
        <v>29.1828</v>
      </c>
      <c r="L14" s="1">
        <v>30.246569999999998</v>
      </c>
      <c r="M14" s="1">
        <v>31.258980000000001</v>
      </c>
      <c r="N14" s="1">
        <v>32.223199999999999</v>
      </c>
      <c r="O14" s="1">
        <v>33.144550000000002</v>
      </c>
      <c r="P14" s="1">
        <v>34.028210000000001</v>
      </c>
      <c r="Q14" s="1">
        <v>34.875610000000002</v>
      </c>
      <c r="R14" s="97">
        <v>35.692500000000003</v>
      </c>
      <c r="S14" s="97">
        <v>36.483789999999999</v>
      </c>
      <c r="T14" s="97">
        <v>37.253509999999999</v>
      </c>
      <c r="U14" s="97">
        <v>38.007840000000002</v>
      </c>
      <c r="V14" s="24">
        <v>38.702379999999998</v>
      </c>
      <c r="W14" s="97">
        <v>39.519129999999997</v>
      </c>
      <c r="X14" s="97">
        <v>40.323039999999999</v>
      </c>
      <c r="Y14" s="97">
        <v>41.263550000000002</v>
      </c>
    </row>
    <row r="15" spans="1:25" x14ac:dyDescent="0.3">
      <c r="A15" s="3" t="s">
        <v>76</v>
      </c>
      <c r="B15" s="2" t="s">
        <v>5</v>
      </c>
      <c r="C15" s="1">
        <f>0.03060579+0.02163413</f>
        <v>5.2239920000000002E-2</v>
      </c>
      <c r="D15" s="1">
        <f>0.04203397+0.02801332</f>
        <v>7.0047289999999998E-2</v>
      </c>
      <c r="E15" s="1">
        <f>0.03455472+0.05476781</f>
        <v>8.9322529999999997E-2</v>
      </c>
      <c r="F15" s="1">
        <f>0.06860472+0.04111935</f>
        <v>0.10972406999999999</v>
      </c>
      <c r="G15" s="1">
        <f>0.08338803+0.0476105</f>
        <v>0.13099853</v>
      </c>
      <c r="H15" s="1">
        <f>0.0990041+0.05396488</f>
        <v>0.15296898</v>
      </c>
      <c r="I15" s="1">
        <f>0.1153836+0.06013915</f>
        <v>0.17552275000000001</v>
      </c>
      <c r="J15" s="1">
        <f>0.1324924+0.06610335</f>
        <v>0.19859575000000002</v>
      </c>
      <c r="K15" s="1">
        <f>0.1503048+0.07183116</f>
        <v>0.22213595999999999</v>
      </c>
      <c r="L15" s="1">
        <f>0.1688534+0.07731035</f>
        <v>0.24616374999999999</v>
      </c>
      <c r="M15" s="1">
        <f>0.1882321+0.08253821</f>
        <v>0.27077031000000001</v>
      </c>
      <c r="N15" s="1">
        <f>0.2085214+0.08750038</f>
        <v>0.29602178000000001</v>
      </c>
      <c r="O15" s="1">
        <f>0.2298961+0.09219324</f>
        <v>0.32208934</v>
      </c>
      <c r="P15" s="1">
        <f>0.2525918+0.09661415</f>
        <v>0.34920594999999999</v>
      </c>
      <c r="Q15" s="1">
        <f>0.2769481+0.1007556</f>
        <v>0.37770369999999998</v>
      </c>
      <c r="R15">
        <f>0.3034394+0.1046119</f>
        <v>0.40805130000000001</v>
      </c>
      <c r="S15">
        <f>0.3327726+0.1081687</f>
        <v>0.44094129999999998</v>
      </c>
      <c r="T15">
        <f>0.3660995+0.1114248</f>
        <v>0.47752430000000001</v>
      </c>
      <c r="U15">
        <f>0.4052489+0.1143339</f>
        <v>0.51958280000000001</v>
      </c>
      <c r="V15" s="24">
        <f>0.4492907+0.116657</f>
        <v>0.56594769999999994</v>
      </c>
      <c r="W15">
        <f>0.5163185+0.1187823</f>
        <v>0.63510080000000002</v>
      </c>
      <c r="X15">
        <f>0.6083519+0.1199001</f>
        <v>0.7282519999999999</v>
      </c>
      <c r="Y15">
        <f>0.7697467+0.1191562</f>
        <v>0.88890290000000005</v>
      </c>
    </row>
    <row r="16" spans="1:25" ht="18" x14ac:dyDescent="0.4">
      <c r="A16" s="3" t="s">
        <v>22</v>
      </c>
      <c r="B16" s="2" t="s">
        <v>77</v>
      </c>
      <c r="C16" s="1">
        <f>4306.72/(4133.452+4237.984)</f>
        <v>0.51445415099631642</v>
      </c>
      <c r="D16" s="1">
        <f>5102.932/(4960.055+5085.564)</f>
        <v>0.50797586490190394</v>
      </c>
      <c r="E16" s="1">
        <f>5871.64/(5786.638+5933.142)</f>
        <v>0.50100257854669639</v>
      </c>
      <c r="F16" s="1">
        <f>6615.049/(6613.201+6780.721)</f>
        <v>0.49388439024805436</v>
      </c>
      <c r="G16" s="1">
        <f>7336.128/(7439.75+7628.299)</f>
        <v>0.48686648151993667</v>
      </c>
      <c r="H16" s="1">
        <f>8036.304/(8266.286+8475.879)</f>
        <v>0.48000387046717075</v>
      </c>
      <c r="I16" s="1">
        <f>8718.378/(9092.807+9323.462)</f>
        <v>0.47340631264671473</v>
      </c>
      <c r="J16" s="1">
        <f>9383.977/(9919.318+10171.04)</f>
        <v>0.46708859045717355</v>
      </c>
      <c r="K16" s="1">
        <f>10034.45/(10745.82+11018.63)</f>
        <v>0.46104771772316794</v>
      </c>
      <c r="L16" s="1">
        <f>10671.12/(11572.3+11866.21)</f>
        <v>0.45528150040254273</v>
      </c>
      <c r="M16" s="1">
        <f>11295.4/(12398.78+12713.81)</f>
        <v>0.44979032429550275</v>
      </c>
      <c r="N16" s="1">
        <f>11907.89/(13225.24+13561.4)</f>
        <v>0.4445458631616358</v>
      </c>
      <c r="O16" s="1">
        <f>12509.81/(14051.68+14408.99)</f>
        <v>0.43954727699664131</v>
      </c>
      <c r="P16" s="1">
        <f>13101.55/(14878.1+15256.59)</f>
        <v>0.43476637722173345</v>
      </c>
      <c r="Q16" s="1">
        <f>13683.34/(15704.49+16104.18)</f>
        <v>0.43017642674151424</v>
      </c>
      <c r="R16">
        <f>14255.32/(16530.85+16951.79)</f>
        <v>0.42575256909252079</v>
      </c>
      <c r="S16">
        <f>14817.59/(17357.15+17799.38)</f>
        <v>0.42147475874325485</v>
      </c>
      <c r="T16">
        <f>15371.12/(18183.4+18647)</f>
        <v>0.41734871193362005</v>
      </c>
      <c r="U16">
        <f>15913.42/(19009.54+19494.6)</f>
        <v>0.41329114219925445</v>
      </c>
      <c r="V16" s="24">
        <f>16404.2/(19774.43+20279.49)</f>
        <v>0.409552922660254</v>
      </c>
      <c r="W16">
        <f>16957.63/(20661.3+21189.83)</f>
        <v>0.40518929835347334</v>
      </c>
      <c r="X16">
        <f>17448.76/(21486.59+22037.46)</f>
        <v>0.40089927293071298</v>
      </c>
      <c r="Y16">
        <f>17893.07/(22310.74+22885.1)</f>
        <v>0.39590081742036437</v>
      </c>
    </row>
    <row r="17" spans="1:25" ht="18" x14ac:dyDescent="0.4">
      <c r="A17" s="3" t="s">
        <v>23</v>
      </c>
      <c r="B17" s="2" t="s">
        <v>1</v>
      </c>
      <c r="C17" s="1">
        <v>65</v>
      </c>
      <c r="D17" s="1">
        <v>65</v>
      </c>
      <c r="E17" s="1">
        <v>65</v>
      </c>
      <c r="F17" s="1">
        <v>65</v>
      </c>
      <c r="G17" s="1">
        <v>65</v>
      </c>
      <c r="H17" s="1">
        <v>65</v>
      </c>
      <c r="I17" s="1">
        <v>65</v>
      </c>
      <c r="J17" s="1">
        <v>65</v>
      </c>
      <c r="K17" s="1">
        <v>65</v>
      </c>
      <c r="L17" s="1">
        <v>65</v>
      </c>
      <c r="M17" s="1">
        <v>65</v>
      </c>
      <c r="N17" s="1">
        <v>65</v>
      </c>
      <c r="O17" s="1">
        <v>65</v>
      </c>
      <c r="P17" s="1">
        <v>65</v>
      </c>
      <c r="Q17" s="1">
        <v>65</v>
      </c>
      <c r="R17" s="1">
        <v>65</v>
      </c>
      <c r="S17" s="1">
        <v>65</v>
      </c>
      <c r="T17" s="1">
        <v>65</v>
      </c>
      <c r="U17" s="1">
        <v>65</v>
      </c>
      <c r="V17" s="32">
        <v>65</v>
      </c>
      <c r="W17" s="1">
        <v>65</v>
      </c>
      <c r="X17" s="1">
        <v>65</v>
      </c>
      <c r="Y17" s="1">
        <v>65</v>
      </c>
    </row>
    <row r="18" spans="1:25" ht="18" x14ac:dyDescent="0.4">
      <c r="A18" s="3" t="s">
        <v>24</v>
      </c>
      <c r="B18" s="2" t="s">
        <v>77</v>
      </c>
      <c r="C18" s="1">
        <v>0.21</v>
      </c>
      <c r="D18" s="1">
        <v>0.21</v>
      </c>
      <c r="E18" s="1">
        <v>0.21</v>
      </c>
      <c r="F18" s="1">
        <v>0.21</v>
      </c>
      <c r="G18" s="1">
        <v>0.21</v>
      </c>
      <c r="H18" s="1">
        <v>0.21</v>
      </c>
      <c r="I18" s="1">
        <v>0.21</v>
      </c>
      <c r="J18" s="1">
        <v>0.21</v>
      </c>
      <c r="K18" s="1">
        <v>0.21</v>
      </c>
      <c r="L18" s="1">
        <v>0.21</v>
      </c>
      <c r="M18" s="1">
        <v>0.21</v>
      </c>
      <c r="N18" s="1">
        <v>0.21</v>
      </c>
      <c r="O18" s="1">
        <v>0.21</v>
      </c>
      <c r="P18" s="1">
        <v>0.21</v>
      </c>
      <c r="Q18" s="1">
        <v>0.21</v>
      </c>
      <c r="R18" s="1">
        <v>0.21</v>
      </c>
      <c r="S18" s="1">
        <v>0.21</v>
      </c>
      <c r="T18" s="1">
        <v>0.21</v>
      </c>
      <c r="U18" s="1">
        <v>0.21</v>
      </c>
      <c r="V18" s="32">
        <v>0.21</v>
      </c>
      <c r="W18" s="1">
        <v>0.21</v>
      </c>
      <c r="X18" s="1">
        <v>0.21</v>
      </c>
      <c r="Y18" s="1">
        <v>0.21</v>
      </c>
    </row>
    <row r="19" spans="1:25" x14ac:dyDescent="0.3">
      <c r="A19" s="3" t="s">
        <v>25</v>
      </c>
      <c r="B19" s="2" t="s">
        <v>10</v>
      </c>
      <c r="C19" s="30">
        <v>713.49699999999996</v>
      </c>
      <c r="D19" s="30">
        <v>859.42700000000002</v>
      </c>
      <c r="E19" s="30">
        <v>1005.94</v>
      </c>
      <c r="F19" s="30">
        <v>1153.02</v>
      </c>
      <c r="G19" s="30">
        <v>1300.57</v>
      </c>
      <c r="H19" s="30">
        <v>1448.53</v>
      </c>
      <c r="I19" s="30">
        <v>1596.95</v>
      </c>
      <c r="J19" s="30">
        <v>1745.67</v>
      </c>
      <c r="K19" s="30">
        <v>1894.7</v>
      </c>
      <c r="L19" s="30">
        <v>2043.9</v>
      </c>
      <c r="M19" s="30">
        <v>2192.81</v>
      </c>
      <c r="N19" s="30">
        <v>2340.0500000000002</v>
      </c>
      <c r="O19" s="30">
        <v>2484.85</v>
      </c>
      <c r="P19" s="30">
        <v>2626.69</v>
      </c>
      <c r="Q19" s="30">
        <v>2767.41</v>
      </c>
      <c r="R19" s="60">
        <v>2907.5</v>
      </c>
      <c r="S19" s="60">
        <v>3047.07</v>
      </c>
      <c r="T19" s="60">
        <v>3186.2</v>
      </c>
      <c r="U19" s="60">
        <v>3324.82</v>
      </c>
      <c r="V19" s="24">
        <v>3452.65</v>
      </c>
      <c r="W19" s="60">
        <v>3600.27</v>
      </c>
      <c r="X19" s="60">
        <v>3736.68</v>
      </c>
      <c r="Y19" s="60">
        <v>3871.12</v>
      </c>
    </row>
    <row r="20" spans="1:25" ht="18" x14ac:dyDescent="0.4">
      <c r="A20" s="3" t="s">
        <v>26</v>
      </c>
      <c r="B20" s="2" t="s">
        <v>1</v>
      </c>
      <c r="C20" s="1">
        <v>121.4002</v>
      </c>
      <c r="D20" s="1">
        <v>121.3832</v>
      </c>
      <c r="E20" s="1">
        <v>121.3683</v>
      </c>
      <c r="F20" s="1">
        <v>121.3553</v>
      </c>
      <c r="G20" s="1">
        <v>121.34350000000001</v>
      </c>
      <c r="H20" s="1">
        <v>121.3329</v>
      </c>
      <c r="I20" s="1">
        <v>121.3232</v>
      </c>
      <c r="J20" s="1">
        <v>121.3138</v>
      </c>
      <c r="K20" s="1">
        <v>121.30549999999999</v>
      </c>
      <c r="L20" s="1">
        <v>121.2975</v>
      </c>
      <c r="M20" s="1">
        <v>121.2903</v>
      </c>
      <c r="N20" s="1">
        <v>121.2833</v>
      </c>
      <c r="O20" s="1">
        <v>121.27679999999999</v>
      </c>
      <c r="P20" s="1">
        <v>121.27070000000001</v>
      </c>
      <c r="Q20" s="1">
        <v>121.265</v>
      </c>
      <c r="R20" s="97">
        <v>121.2595</v>
      </c>
      <c r="S20" s="97">
        <v>121.2542</v>
      </c>
      <c r="T20" s="97">
        <v>121.2492</v>
      </c>
      <c r="U20" s="97">
        <v>121.2441</v>
      </c>
      <c r="V20" s="24">
        <v>121.2393</v>
      </c>
      <c r="W20" s="97">
        <v>121.23390000000001</v>
      </c>
      <c r="X20" s="97">
        <v>121.2287</v>
      </c>
      <c r="Y20" s="97">
        <v>121.2225</v>
      </c>
    </row>
    <row r="21" spans="1:25" x14ac:dyDescent="0.3">
      <c r="A21" s="3" t="s">
        <v>78</v>
      </c>
      <c r="B21" s="2" t="s">
        <v>5</v>
      </c>
      <c r="C21" s="1">
        <f>0.006312502+0.00538946</f>
        <v>1.1701962E-2</v>
      </c>
      <c r="D21" s="1">
        <f>0.007409108+0.006323285</f>
        <v>1.3732392999999999E-2</v>
      </c>
      <c r="E21" s="1">
        <f>0.008448686+0.007208285</f>
        <v>1.5656970999999999E-2</v>
      </c>
      <c r="F21" s="1">
        <f>0.009435601+0.008048146</f>
        <v>1.7483747000000001E-2</v>
      </c>
      <c r="G21" s="1">
        <f>0.01038074+0.008851717</f>
        <v>1.9232457000000001E-2</v>
      </c>
      <c r="H21" s="1">
        <f>0.01128575+0.00962047</f>
        <v>2.0906220000000003E-2</v>
      </c>
      <c r="I21" s="1">
        <f>0.01215673+0.01036008</f>
        <v>2.2516809999999998E-2</v>
      </c>
      <c r="J21" s="1">
        <f>0.01299636+0.01107245</f>
        <v>2.406881E-2</v>
      </c>
      <c r="K21" s="1">
        <f>0.0138133+0.01176451</f>
        <v>2.5577809999999999E-2</v>
      </c>
      <c r="L21" s="1">
        <f>0.01461171+0.01243967</f>
        <v>2.705138E-2</v>
      </c>
      <c r="M21" s="1">
        <f>0.01541906+0.01311777</f>
        <v>2.8536829999999999E-2</v>
      </c>
      <c r="N21" s="1">
        <f>0.01632222+0.01386218</f>
        <v>3.01844E-2</v>
      </c>
      <c r="O21" s="1">
        <f>0.01735983+0.01470009</f>
        <v>3.2059919999999999E-2</v>
      </c>
      <c r="P21" s="1">
        <f>0.0185649+0.01565418</f>
        <v>3.4219079999999999E-2</v>
      </c>
      <c r="Q21" s="1">
        <f>0.01982918+0.01664585</f>
        <v>3.6475029999999999E-2</v>
      </c>
      <c r="R21">
        <f>0.02112997+0.01765868</f>
        <v>3.8788650000000001E-2</v>
      </c>
      <c r="S21">
        <f>0.02244988+0.01867951</f>
        <v>4.1129390000000002E-2</v>
      </c>
      <c r="T21">
        <f>0.02379617+0.01971454</f>
        <v>4.3510709999999994E-2</v>
      </c>
      <c r="U21">
        <f>0.02516134+0.0207565</f>
        <v>4.5917840000000001E-2</v>
      </c>
      <c r="V21" s="24">
        <f>0.02645401+0.02173617</f>
        <v>4.8190179999999999E-2</v>
      </c>
      <c r="W21">
        <f>0.02797669+0.02287981</f>
        <v>5.0856499999999999E-2</v>
      </c>
      <c r="X21">
        <f>0.02944423+0.02396899</f>
        <v>5.3413219999999997E-2</v>
      </c>
      <c r="Y21">
        <f>0.0309983+0.02509763</f>
        <v>5.6095930000000002E-2</v>
      </c>
    </row>
    <row r="22" spans="1:25" x14ac:dyDescent="0.3">
      <c r="A22" s="3" t="s">
        <v>79</v>
      </c>
      <c r="B22" s="2" t="s">
        <v>5</v>
      </c>
      <c r="C22" s="1">
        <f>C21+C15</f>
        <v>6.3941882000000005E-2</v>
      </c>
      <c r="D22" s="1">
        <f t="shared" ref="D22:Y22" si="2">D21+D15</f>
        <v>8.3779682999999994E-2</v>
      </c>
      <c r="E22" s="1">
        <f t="shared" si="2"/>
        <v>0.104979501</v>
      </c>
      <c r="F22" s="1">
        <f t="shared" si="2"/>
        <v>0.127207817</v>
      </c>
      <c r="G22" s="1">
        <f t="shared" si="2"/>
        <v>0.15023098700000001</v>
      </c>
      <c r="H22" s="1">
        <f t="shared" si="2"/>
        <v>0.17387520000000001</v>
      </c>
      <c r="I22" s="1">
        <f t="shared" si="2"/>
        <v>0.19803956</v>
      </c>
      <c r="J22" s="1">
        <f t="shared" si="2"/>
        <v>0.22266456000000001</v>
      </c>
      <c r="K22" s="1">
        <f t="shared" si="2"/>
        <v>0.24771377</v>
      </c>
      <c r="L22" s="1">
        <f t="shared" si="2"/>
        <v>0.27321512999999997</v>
      </c>
      <c r="M22" s="1">
        <f t="shared" si="2"/>
        <v>0.29930714000000003</v>
      </c>
      <c r="N22" s="1">
        <f t="shared" si="2"/>
        <v>0.32620618000000001</v>
      </c>
      <c r="O22" s="1">
        <f t="shared" si="2"/>
        <v>0.35414926000000002</v>
      </c>
      <c r="P22" s="1">
        <f t="shared" si="2"/>
        <v>0.38342503</v>
      </c>
      <c r="Q22" s="1">
        <f t="shared" si="2"/>
        <v>0.41417872999999999</v>
      </c>
      <c r="R22" s="1">
        <f t="shared" si="2"/>
        <v>0.44683994999999999</v>
      </c>
      <c r="S22" s="1">
        <f t="shared" si="2"/>
        <v>0.48207068999999997</v>
      </c>
      <c r="T22" s="1">
        <f t="shared" si="2"/>
        <v>0.52103500999999997</v>
      </c>
      <c r="U22" s="1">
        <f t="shared" si="2"/>
        <v>0.56550064</v>
      </c>
      <c r="V22" s="32">
        <f t="shared" si="2"/>
        <v>0.61413787999999991</v>
      </c>
      <c r="W22" s="1">
        <f t="shared" si="2"/>
        <v>0.68595729999999999</v>
      </c>
      <c r="X22" s="1">
        <f t="shared" si="2"/>
        <v>0.78166521999999994</v>
      </c>
      <c r="Y22" s="1">
        <f t="shared" si="2"/>
        <v>0.94499883000000007</v>
      </c>
    </row>
    <row r="23" spans="1:25" x14ac:dyDescent="0.3">
      <c r="A23" s="3" t="s">
        <v>80</v>
      </c>
      <c r="B23" s="2" t="s">
        <v>52</v>
      </c>
      <c r="C23" s="1">
        <f>C22/C11*1000</f>
        <v>0.3373552841715175</v>
      </c>
      <c r="D23" s="1">
        <f t="shared" ref="D23:Y23" si="3">D22/D11*1000</f>
        <v>0.37305050761421316</v>
      </c>
      <c r="E23" s="1">
        <f t="shared" si="3"/>
        <v>0.40625028201209773</v>
      </c>
      <c r="F23" s="1">
        <f t="shared" si="3"/>
        <v>0.43694761725328662</v>
      </c>
      <c r="G23" s="1">
        <f t="shared" si="3"/>
        <v>0.46530877492930445</v>
      </c>
      <c r="H23" s="1">
        <f t="shared" si="3"/>
        <v>0.49162047819243337</v>
      </c>
      <c r="I23" s="1">
        <f t="shared" si="3"/>
        <v>0.51613689803224327</v>
      </c>
      <c r="J23" s="1">
        <f t="shared" si="3"/>
        <v>0.53915399158524391</v>
      </c>
      <c r="K23" s="1">
        <f t="shared" si="3"/>
        <v>0.56092584075890373</v>
      </c>
      <c r="L23" s="1">
        <f t="shared" si="3"/>
        <v>0.58175934127707407</v>
      </c>
      <c r="M23" s="1">
        <f t="shared" si="3"/>
        <v>0.60209390107308158</v>
      </c>
      <c r="N23" s="1">
        <f t="shared" si="3"/>
        <v>0.62245223981245124</v>
      </c>
      <c r="O23" s="1">
        <f t="shared" si="3"/>
        <v>0.64325676960370659</v>
      </c>
      <c r="P23" s="1">
        <f t="shared" si="3"/>
        <v>0.66497669438320406</v>
      </c>
      <c r="Q23" s="1">
        <f t="shared" si="3"/>
        <v>0.71831292545793934</v>
      </c>
      <c r="R23" s="1">
        <f t="shared" si="3"/>
        <v>0.71223560139157238</v>
      </c>
      <c r="S23" s="1">
        <f t="shared" si="3"/>
        <v>0.73923367430214759</v>
      </c>
      <c r="T23" s="1">
        <f t="shared" si="3"/>
        <v>0.77021153524922281</v>
      </c>
      <c r="U23" s="1">
        <f t="shared" si="3"/>
        <v>0.80745490644314011</v>
      </c>
      <c r="V23" s="32">
        <f t="shared" si="3"/>
        <v>0.85066680628875602</v>
      </c>
      <c r="W23" s="1">
        <f t="shared" si="3"/>
        <v>0.91913765050308494</v>
      </c>
      <c r="X23" s="1">
        <f t="shared" si="3"/>
        <v>1.0178994189367927</v>
      </c>
      <c r="Y23" s="1">
        <f t="shared" si="3"/>
        <v>1.2000382869832258</v>
      </c>
    </row>
    <row r="24" spans="1:25" x14ac:dyDescent="0.3">
      <c r="A24" s="3" t="s">
        <v>34</v>
      </c>
      <c r="B24" s="2" t="s">
        <v>28</v>
      </c>
      <c r="C24" s="1">
        <f>C19/C11</f>
        <v>3.7643869035716713</v>
      </c>
      <c r="D24" s="1">
        <f t="shared" ref="D24:Y24" si="4">D19/D11</f>
        <v>3.8268189509306261</v>
      </c>
      <c r="E24" s="1">
        <f t="shared" si="4"/>
        <v>3.8927924479965821</v>
      </c>
      <c r="F24" s="1">
        <f t="shared" si="4"/>
        <v>3.9605218730023837</v>
      </c>
      <c r="G24" s="1">
        <f t="shared" si="4"/>
        <v>4.0282410805821662</v>
      </c>
      <c r="H24" s="1">
        <f t="shared" si="4"/>
        <v>4.0956215220806964</v>
      </c>
      <c r="I24" s="1">
        <f t="shared" si="4"/>
        <v>4.1620210593913196</v>
      </c>
      <c r="J24" s="1">
        <f t="shared" si="4"/>
        <v>4.2269185023903795</v>
      </c>
      <c r="K24" s="1">
        <f t="shared" si="4"/>
        <v>4.2903799432946146</v>
      </c>
      <c r="L24" s="1">
        <f t="shared" si="4"/>
        <v>4.3520939621323746</v>
      </c>
      <c r="M24" s="1">
        <f t="shared" si="4"/>
        <v>4.4111127025304633</v>
      </c>
      <c r="N24" s="1">
        <f t="shared" si="4"/>
        <v>4.4651801623535352</v>
      </c>
      <c r="O24" s="1">
        <f t="shared" si="4"/>
        <v>4.5133415892207989</v>
      </c>
      <c r="P24" s="1">
        <f t="shared" si="4"/>
        <v>4.5554867228397127</v>
      </c>
      <c r="Q24" s="1">
        <f t="shared" si="4"/>
        <v>4.7995375644750178</v>
      </c>
      <c r="R24" s="1">
        <f t="shared" si="4"/>
        <v>4.6343775014879416</v>
      </c>
      <c r="S24" s="1">
        <f t="shared" si="4"/>
        <v>4.6725445016286828</v>
      </c>
      <c r="T24" s="1">
        <f t="shared" si="4"/>
        <v>4.7099483652952108</v>
      </c>
      <c r="U24" s="1">
        <f t="shared" si="4"/>
        <v>4.7473725618423375</v>
      </c>
      <c r="V24" s="32">
        <f t="shared" si="4"/>
        <v>4.7824028518365846</v>
      </c>
      <c r="W24" s="1">
        <f t="shared" si="4"/>
        <v>4.8241249258178929</v>
      </c>
      <c r="X24" s="1">
        <f t="shared" si="4"/>
        <v>4.865976256117337</v>
      </c>
      <c r="Y24" s="1">
        <f t="shared" si="4"/>
        <v>4.9158708625136658</v>
      </c>
    </row>
    <row r="25" spans="1:25" x14ac:dyDescent="0.3">
      <c r="A25" s="150" t="s">
        <v>27</v>
      </c>
      <c r="B25" s="12" t="s">
        <v>36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</row>
    <row r="26" spans="1:25" x14ac:dyDescent="0.3">
      <c r="A26" s="150"/>
      <c r="B26" s="2" t="s">
        <v>11</v>
      </c>
      <c r="C26" s="1">
        <v>0.88570519999999997</v>
      </c>
      <c r="D26" s="1">
        <v>0.88574359999999996</v>
      </c>
      <c r="E26" s="1">
        <v>0.88579339999999995</v>
      </c>
      <c r="F26" s="1">
        <v>0.88584640000000003</v>
      </c>
      <c r="G26" s="1">
        <v>0.88587879999999997</v>
      </c>
      <c r="H26" s="1">
        <v>0.88589969999999996</v>
      </c>
      <c r="I26" s="1">
        <v>0.88591050000000005</v>
      </c>
      <c r="J26" s="1">
        <v>0.8859146</v>
      </c>
      <c r="K26" s="1">
        <v>0.88589390000000001</v>
      </c>
      <c r="L26" s="1">
        <v>0.88584790000000002</v>
      </c>
      <c r="M26" s="1">
        <v>0.88570700000000002</v>
      </c>
      <c r="N26" s="1">
        <v>0.88524309999999995</v>
      </c>
      <c r="O26" s="1">
        <v>0.88440479999999999</v>
      </c>
      <c r="P26" s="1">
        <v>0.88316519999999998</v>
      </c>
      <c r="Q26" s="1">
        <v>0.88184430000000003</v>
      </c>
      <c r="R26" s="97">
        <v>0.88050539999999999</v>
      </c>
      <c r="S26" s="97">
        <v>0.87918750000000001</v>
      </c>
      <c r="T26" s="97">
        <v>0.87787599999999999</v>
      </c>
      <c r="U26" s="97">
        <v>0.87657160000000001</v>
      </c>
      <c r="V26" s="24">
        <v>0.87533939999999999</v>
      </c>
      <c r="W26" s="97">
        <v>0.87389139999999998</v>
      </c>
      <c r="X26" s="97">
        <v>0.87243599999999999</v>
      </c>
      <c r="Y26" s="97">
        <v>0.87070999999999998</v>
      </c>
    </row>
    <row r="27" spans="1:25" x14ac:dyDescent="0.3">
      <c r="A27" s="150"/>
      <c r="B27" s="2" t="s">
        <v>12</v>
      </c>
      <c r="C27" s="1">
        <v>2.9232110000000002E-3</v>
      </c>
      <c r="D27" s="1">
        <v>2.7905970000000001E-3</v>
      </c>
      <c r="E27" s="1">
        <v>2.6615269999999999E-3</v>
      </c>
      <c r="F27" s="1">
        <v>2.5422999999999999E-3</v>
      </c>
      <c r="G27" s="1">
        <v>2.4340960000000002E-3</v>
      </c>
      <c r="H27" s="1">
        <v>2.3375000000000002E-3</v>
      </c>
      <c r="I27" s="1">
        <v>2.2510249999999998E-3</v>
      </c>
      <c r="J27" s="1">
        <v>2.1735600000000002E-3</v>
      </c>
      <c r="K27" s="1">
        <v>2.104037E-3</v>
      </c>
      <c r="L27" s="1">
        <v>2.0413039999999999E-3</v>
      </c>
      <c r="M27" s="1">
        <v>1.9841720000000002E-3</v>
      </c>
      <c r="N27" s="1">
        <v>1.931543E-3</v>
      </c>
      <c r="O27" s="1">
        <v>1.882461E-3</v>
      </c>
      <c r="P27" s="1">
        <v>1.836336E-3</v>
      </c>
      <c r="Q27" s="1">
        <v>1.793572E-3</v>
      </c>
      <c r="R27" s="97">
        <v>1.7537449999999999E-3</v>
      </c>
      <c r="S27" s="97">
        <v>1.7164680000000001E-3</v>
      </c>
      <c r="T27" s="97">
        <v>1.6812400000000001E-3</v>
      </c>
      <c r="U27" s="97">
        <v>1.647917E-3</v>
      </c>
      <c r="V27" s="24">
        <v>1.6181909999999999E-3</v>
      </c>
      <c r="W27" s="97">
        <v>1.5842639999999999E-3</v>
      </c>
      <c r="X27" s="97">
        <v>1.552005E-3</v>
      </c>
      <c r="Y27" s="97">
        <v>1.515626E-3</v>
      </c>
    </row>
    <row r="28" spans="1:25" x14ac:dyDescent="0.3">
      <c r="A28" s="150"/>
      <c r="B28" s="2" t="s">
        <v>13</v>
      </c>
      <c r="C28" s="1">
        <v>1.643278E-4</v>
      </c>
      <c r="D28" s="1">
        <v>1.627349E-4</v>
      </c>
      <c r="E28" s="1">
        <v>1.6118759999999999E-4</v>
      </c>
      <c r="F28" s="1">
        <v>1.5982050000000001E-4</v>
      </c>
      <c r="G28" s="1">
        <v>1.5864389999999999E-4</v>
      </c>
      <c r="H28" s="1">
        <v>1.5769119999999999E-4</v>
      </c>
      <c r="I28" s="1">
        <v>1.5691730000000001E-4</v>
      </c>
      <c r="J28" s="1">
        <v>1.563034E-4</v>
      </c>
      <c r="K28" s="1">
        <v>1.5583059999999999E-4</v>
      </c>
      <c r="L28" s="1">
        <v>1.5547440000000001E-4</v>
      </c>
      <c r="M28" s="1">
        <v>1.5519749999999999E-4</v>
      </c>
      <c r="N28" s="1">
        <v>1.549546E-4</v>
      </c>
      <c r="O28" s="1">
        <v>1.5471279999999999E-4</v>
      </c>
      <c r="P28" s="1">
        <v>1.5445899999999999E-4</v>
      </c>
      <c r="Q28" s="1">
        <v>1.5425040000000001E-4</v>
      </c>
      <c r="R28" s="97">
        <v>1.5408760000000001E-4</v>
      </c>
      <c r="S28" s="97">
        <v>1.5396990000000001E-4</v>
      </c>
      <c r="T28" s="97">
        <v>1.5387920000000001E-4</v>
      </c>
      <c r="U28" s="97">
        <v>1.5383629999999999E-4</v>
      </c>
      <c r="V28" s="24">
        <v>1.538298E-4</v>
      </c>
      <c r="W28" s="97">
        <v>1.5385379999999999E-4</v>
      </c>
      <c r="X28" s="97">
        <v>1.5391790000000001E-4</v>
      </c>
      <c r="Y28" s="97">
        <v>1.5404120000000001E-4</v>
      </c>
    </row>
    <row r="29" spans="1:25" x14ac:dyDescent="0.3">
      <c r="A29" s="150"/>
      <c r="B29" s="2" t="s">
        <v>14</v>
      </c>
      <c r="C29" s="35">
        <v>2.8733340000000001E-5</v>
      </c>
      <c r="D29" s="35">
        <v>2.8452580000000001E-5</v>
      </c>
      <c r="E29" s="35">
        <v>2.8174499999999999E-5</v>
      </c>
      <c r="F29" s="35">
        <v>2.7922920000000001E-5</v>
      </c>
      <c r="G29" s="35">
        <v>2.7700420000000001E-5</v>
      </c>
      <c r="H29" s="35">
        <v>2.751359E-5</v>
      </c>
      <c r="I29" s="35">
        <v>2.7355259999999999E-5</v>
      </c>
      <c r="J29" s="35">
        <v>2.72228E-5</v>
      </c>
      <c r="K29" s="35">
        <v>2.7113329999999999E-5</v>
      </c>
      <c r="L29" s="35">
        <v>2.7022959999999999E-5</v>
      </c>
      <c r="M29" s="35">
        <v>2.6945450000000001E-5</v>
      </c>
      <c r="N29" s="35">
        <v>2.687326E-5</v>
      </c>
      <c r="O29" s="35">
        <v>2.680072E-5</v>
      </c>
      <c r="P29" s="35">
        <v>2.6725779999999999E-5</v>
      </c>
      <c r="Q29" s="35">
        <v>2.6658409999999999E-5</v>
      </c>
      <c r="R29" s="67">
        <v>2.6598789999999999E-5</v>
      </c>
      <c r="S29" s="67">
        <v>2.654663E-5</v>
      </c>
      <c r="T29" s="67">
        <v>2.6498819999999999E-5</v>
      </c>
      <c r="U29" s="67">
        <v>2.6458740000000001E-5</v>
      </c>
      <c r="V29" s="93">
        <v>2.642652E-5</v>
      </c>
      <c r="W29" s="67">
        <v>2.6392880000000001E-5</v>
      </c>
      <c r="X29" s="67">
        <v>2.6365420000000001E-5</v>
      </c>
      <c r="Y29" s="67">
        <v>2.633993E-5</v>
      </c>
    </row>
    <row r="30" spans="1:25" x14ac:dyDescent="0.3">
      <c r="A30" s="150"/>
      <c r="B30" s="2" t="s">
        <v>15</v>
      </c>
      <c r="C30" s="1">
        <v>0.1111101</v>
      </c>
      <c r="D30" s="1">
        <v>0.1112066</v>
      </c>
      <c r="E30" s="1">
        <v>0.111288</v>
      </c>
      <c r="F30" s="1">
        <v>0.1113562</v>
      </c>
      <c r="G30" s="1">
        <v>0.1114337</v>
      </c>
      <c r="H30" s="1">
        <v>0.11151079999999999</v>
      </c>
      <c r="I30" s="1">
        <v>0.1115877</v>
      </c>
      <c r="J30" s="1">
        <v>0.11166189999999999</v>
      </c>
      <c r="K30" s="1">
        <v>0.1117529</v>
      </c>
      <c r="L30" s="1">
        <v>0.11186219999999999</v>
      </c>
      <c r="M30" s="1">
        <v>0.1120607</v>
      </c>
      <c r="N30" s="1">
        <v>0.112577</v>
      </c>
      <c r="O30" s="1">
        <v>0.1134638</v>
      </c>
      <c r="P30" s="1">
        <v>0.1147484</v>
      </c>
      <c r="Q30" s="1">
        <v>0.1161108</v>
      </c>
      <c r="R30" s="97">
        <v>0.1174881</v>
      </c>
      <c r="S30" s="97">
        <v>0.118842</v>
      </c>
      <c r="T30" s="97">
        <v>0.12018719999999999</v>
      </c>
      <c r="U30" s="97">
        <v>0.12152350000000001</v>
      </c>
      <c r="V30" s="24">
        <v>0.1227839</v>
      </c>
      <c r="W30" s="97">
        <v>0.1242641</v>
      </c>
      <c r="X30" s="97">
        <v>0.12574979999999999</v>
      </c>
      <c r="Y30" s="97">
        <v>0.12750990000000001</v>
      </c>
    </row>
    <row r="31" spans="1:25" x14ac:dyDescent="0.3">
      <c r="A31" s="150"/>
      <c r="B31" s="2" t="s">
        <v>0</v>
      </c>
      <c r="C31" s="35">
        <v>3.6943919999999998E-5</v>
      </c>
      <c r="D31" s="35">
        <v>3.6715770000000003E-5</v>
      </c>
      <c r="E31" s="35">
        <v>3.6518489999999999E-5</v>
      </c>
      <c r="F31" s="35">
        <v>3.6339710000000001E-5</v>
      </c>
      <c r="G31" s="35">
        <v>3.6189970000000002E-5</v>
      </c>
      <c r="H31" s="35">
        <v>3.6057360000000002E-5</v>
      </c>
      <c r="I31" s="35">
        <v>3.5939870000000003E-5</v>
      </c>
      <c r="J31" s="35">
        <v>3.583289E-5</v>
      </c>
      <c r="K31" s="35">
        <v>3.5749250000000003E-5</v>
      </c>
      <c r="L31" s="35">
        <v>3.5688619999999997E-5</v>
      </c>
      <c r="M31" s="35">
        <v>3.5701919999999999E-5</v>
      </c>
      <c r="N31" s="35">
        <v>3.5957429999999998E-5</v>
      </c>
      <c r="O31" s="35">
        <v>3.6494890000000001E-5</v>
      </c>
      <c r="P31" s="35">
        <v>3.7339960000000002E-5</v>
      </c>
      <c r="Q31" s="35">
        <v>3.8257740000000001E-5</v>
      </c>
      <c r="R31" s="67">
        <v>3.9201530000000003E-5</v>
      </c>
      <c r="S31" s="67">
        <v>4.0140930000000003E-5</v>
      </c>
      <c r="T31" s="67">
        <v>4.1087110000000002E-5</v>
      </c>
      <c r="U31" s="67">
        <v>4.203771E-5</v>
      </c>
      <c r="V31" s="93">
        <v>4.2945909999999999E-5</v>
      </c>
      <c r="W31" s="67">
        <v>4.4023290000000002E-5</v>
      </c>
      <c r="X31" s="67">
        <v>4.5119030000000002E-5</v>
      </c>
      <c r="Y31" s="67">
        <v>4.643289E-5</v>
      </c>
    </row>
    <row r="32" spans="1:25" x14ac:dyDescent="0.3">
      <c r="A32" s="150"/>
      <c r="B32" s="2" t="s">
        <v>61</v>
      </c>
      <c r="C32" s="35">
        <v>3.1541819999999998E-5</v>
      </c>
      <c r="D32" s="35">
        <v>3.1334980000000003E-5</v>
      </c>
      <c r="E32" s="35">
        <v>3.1157E-5</v>
      </c>
      <c r="F32" s="35">
        <v>3.0996150000000003E-5</v>
      </c>
      <c r="G32" s="35">
        <v>3.0859399999999998E-5</v>
      </c>
      <c r="H32" s="35">
        <v>3.0736879999999999E-5</v>
      </c>
      <c r="I32" s="35">
        <v>3.0628289999999999E-5</v>
      </c>
      <c r="J32" s="35">
        <v>3.0528399999999997E-5</v>
      </c>
      <c r="K32" s="35">
        <v>3.044692E-5</v>
      </c>
      <c r="L32" s="35">
        <v>3.038348E-5</v>
      </c>
      <c r="M32" s="35">
        <v>3.0373420000000001E-5</v>
      </c>
      <c r="N32" s="35">
        <v>3.053803E-5</v>
      </c>
      <c r="O32" s="35">
        <v>3.0903430000000002E-5</v>
      </c>
      <c r="P32" s="35">
        <v>3.148557E-5</v>
      </c>
      <c r="Q32" s="35">
        <v>3.2115929999999997E-5</v>
      </c>
      <c r="R32" s="67">
        <v>3.2761400000000001E-5</v>
      </c>
      <c r="S32" s="67">
        <v>3.3399419999999999E-5</v>
      </c>
      <c r="T32" s="67">
        <v>3.4039660000000003E-5</v>
      </c>
      <c r="U32" s="67">
        <v>3.4678429999999999E-5</v>
      </c>
      <c r="V32" s="93">
        <v>3.5286880000000001E-5</v>
      </c>
      <c r="W32" s="67">
        <v>3.600299E-5</v>
      </c>
      <c r="X32" s="67">
        <v>3.6729020000000002E-5</v>
      </c>
      <c r="Y32" s="67">
        <v>3.7594159999999997E-5</v>
      </c>
    </row>
    <row r="33" spans="1:25" x14ac:dyDescent="0.3">
      <c r="A33" s="150" t="s">
        <v>27</v>
      </c>
      <c r="B33" s="12" t="s">
        <v>35</v>
      </c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25" x14ac:dyDescent="0.3">
      <c r="A34" s="150"/>
      <c r="B34" s="2" t="s">
        <v>11</v>
      </c>
      <c r="C34" s="1">
        <v>0.76387660000000002</v>
      </c>
      <c r="D34" s="1">
        <v>0.76379109999999995</v>
      </c>
      <c r="E34" s="1">
        <v>0.76373069999999998</v>
      </c>
      <c r="F34" s="1">
        <v>0.76368760000000002</v>
      </c>
      <c r="G34" s="1">
        <v>0.76361999999999997</v>
      </c>
      <c r="H34" s="1">
        <v>0.76354520000000003</v>
      </c>
      <c r="I34" s="1">
        <v>0.76346400000000003</v>
      </c>
      <c r="J34" s="1">
        <v>0.76338139999999999</v>
      </c>
      <c r="K34" s="1">
        <v>0.76326300000000002</v>
      </c>
      <c r="L34" s="1">
        <v>0.76310679999999997</v>
      </c>
      <c r="M34" s="1">
        <v>0.76278550000000001</v>
      </c>
      <c r="N34" s="1">
        <v>0.76188670000000003</v>
      </c>
      <c r="O34" s="1">
        <v>0.76031820000000006</v>
      </c>
      <c r="P34" s="1">
        <v>0.75803549999999997</v>
      </c>
      <c r="Q34" s="1">
        <v>0.75561869999999998</v>
      </c>
      <c r="R34" s="97">
        <v>0.75318130000000005</v>
      </c>
      <c r="S34" s="97">
        <v>0.75079209999999996</v>
      </c>
      <c r="T34" s="97">
        <v>0.74842509999999995</v>
      </c>
      <c r="U34" s="97">
        <v>0.74608039999999998</v>
      </c>
      <c r="V34" s="24">
        <v>0.74387479999999995</v>
      </c>
      <c r="W34" s="97">
        <v>0.74129230000000002</v>
      </c>
      <c r="X34" s="97">
        <v>0.7387087</v>
      </c>
      <c r="Y34" s="97">
        <v>0.73565860000000005</v>
      </c>
    </row>
    <row r="35" spans="1:25" x14ac:dyDescent="0.3">
      <c r="A35" s="150"/>
      <c r="B35" s="2" t="s">
        <v>12</v>
      </c>
      <c r="C35" s="1">
        <v>1.7319080000000001E-3</v>
      </c>
      <c r="D35" s="1">
        <v>1.653081E-3</v>
      </c>
      <c r="E35" s="1">
        <v>1.5764100000000001E-3</v>
      </c>
      <c r="F35" s="1">
        <v>1.5056169999999999E-3</v>
      </c>
      <c r="G35" s="1">
        <v>1.441356E-3</v>
      </c>
      <c r="H35" s="1">
        <v>1.3839880000000001E-3</v>
      </c>
      <c r="I35" s="1">
        <v>1.33263E-3</v>
      </c>
      <c r="J35" s="1">
        <v>1.2866240000000001E-3</v>
      </c>
      <c r="K35" s="1">
        <v>1.245307E-3</v>
      </c>
      <c r="L35" s="1">
        <v>1.2079930000000001E-3</v>
      </c>
      <c r="M35" s="1">
        <v>1.1738759999999999E-3</v>
      </c>
      <c r="N35" s="1">
        <v>1.141991E-3</v>
      </c>
      <c r="O35" s="1">
        <v>1.1117340000000001E-3</v>
      </c>
      <c r="P35" s="1">
        <v>1.0827549999999999E-3</v>
      </c>
      <c r="Q35" s="1">
        <v>1.055748E-3</v>
      </c>
      <c r="R35" s="97">
        <v>1.030539E-3</v>
      </c>
      <c r="S35" s="97">
        <v>1.006942E-3</v>
      </c>
      <c r="T35" s="97">
        <v>9.846353999999999E-4</v>
      </c>
      <c r="U35" s="97">
        <v>9.6352730000000004E-4</v>
      </c>
      <c r="V35" s="24">
        <v>9.4467770000000002E-4</v>
      </c>
      <c r="W35" s="97">
        <v>9.2318779999999996E-4</v>
      </c>
      <c r="X35" s="97">
        <v>9.0274099999999998E-4</v>
      </c>
      <c r="Y35" s="97">
        <v>8.7968089999999996E-4</v>
      </c>
    </row>
    <row r="36" spans="1:25" x14ac:dyDescent="0.3">
      <c r="A36" s="150"/>
      <c r="B36" s="2" t="s">
        <v>13</v>
      </c>
      <c r="C36" s="1">
        <v>2.226493E-4</v>
      </c>
      <c r="D36" s="1">
        <v>2.2045680000000001E-4</v>
      </c>
      <c r="E36" s="1">
        <v>2.183311E-4</v>
      </c>
      <c r="F36" s="1">
        <v>2.164542E-4</v>
      </c>
      <c r="G36" s="1">
        <v>2.148338E-4</v>
      </c>
      <c r="H36" s="1">
        <v>2.135177E-4</v>
      </c>
      <c r="I36" s="1">
        <v>2.1244459999999999E-4</v>
      </c>
      <c r="J36" s="1">
        <v>2.115896E-4</v>
      </c>
      <c r="K36" s="1">
        <v>2.1092180000000001E-4</v>
      </c>
      <c r="L36" s="1">
        <v>2.104075E-4</v>
      </c>
      <c r="M36" s="1">
        <v>2.0997769999999999E-4</v>
      </c>
      <c r="N36" s="1">
        <v>2.0951189999999999E-4</v>
      </c>
      <c r="O36" s="1">
        <v>2.089522E-4</v>
      </c>
      <c r="P36" s="1">
        <v>2.082749E-4</v>
      </c>
      <c r="Q36" s="1">
        <v>2.0764110000000001E-4</v>
      </c>
      <c r="R36" s="97">
        <v>2.0706730000000001E-4</v>
      </c>
      <c r="S36" s="97">
        <v>2.065619E-4</v>
      </c>
      <c r="T36" s="97">
        <v>2.060969E-4</v>
      </c>
      <c r="U36" s="97">
        <v>2.056995E-4</v>
      </c>
      <c r="V36" s="24">
        <v>2.0537140000000001E-4</v>
      </c>
      <c r="W36" s="97">
        <v>2.0502960000000001E-4</v>
      </c>
      <c r="X36" s="97">
        <v>2.0474109999999999E-4</v>
      </c>
      <c r="Y36" s="97">
        <v>2.0446350000000001E-4</v>
      </c>
    </row>
    <row r="37" spans="1:25" x14ac:dyDescent="0.3">
      <c r="A37" s="150"/>
      <c r="B37" s="2" t="s">
        <v>14</v>
      </c>
      <c r="C37" s="35">
        <v>3.4082789999999998E-5</v>
      </c>
      <c r="D37" s="35">
        <v>3.3744520000000003E-5</v>
      </c>
      <c r="E37" s="35">
        <v>3.341019E-5</v>
      </c>
      <c r="F37" s="35">
        <v>3.3108010000000003E-5</v>
      </c>
      <c r="G37" s="35">
        <v>3.2840089999999997E-5</v>
      </c>
      <c r="H37" s="35">
        <v>3.261463E-5</v>
      </c>
      <c r="I37" s="35">
        <v>3.2423099999999998E-5</v>
      </c>
      <c r="J37" s="35">
        <v>3.2262450000000001E-5</v>
      </c>
      <c r="K37" s="35">
        <v>3.2128490000000002E-5</v>
      </c>
      <c r="L37" s="35">
        <v>3.2016510000000002E-5</v>
      </c>
      <c r="M37" s="35">
        <v>3.1916319999999999E-5</v>
      </c>
      <c r="N37" s="35">
        <v>3.1809959999999999E-5</v>
      </c>
      <c r="O37" s="35">
        <v>3.1688800000000001E-5</v>
      </c>
      <c r="P37" s="35">
        <v>3.1549530000000002E-5</v>
      </c>
      <c r="Q37" s="35">
        <v>3.1416659999999997E-5</v>
      </c>
      <c r="R37" s="67">
        <v>3.12928E-5</v>
      </c>
      <c r="S37" s="67">
        <v>3.1179020000000002E-5</v>
      </c>
      <c r="T37" s="67">
        <v>3.1071100000000001E-5</v>
      </c>
      <c r="U37" s="67">
        <v>3.0972929999999998E-5</v>
      </c>
      <c r="V37" s="93">
        <v>3.0887180000000003E-5</v>
      </c>
      <c r="W37" s="67">
        <v>3.0791699999999999E-5</v>
      </c>
      <c r="X37" s="67">
        <v>3.0703590000000001E-5</v>
      </c>
      <c r="Y37" s="67">
        <v>3.0607810000000003E-5</v>
      </c>
    </row>
    <row r="38" spans="1:25" x14ac:dyDescent="0.3">
      <c r="A38" s="150"/>
      <c r="B38" s="2" t="s">
        <v>15</v>
      </c>
      <c r="C38" s="1">
        <v>0.2341018</v>
      </c>
      <c r="D38" s="1">
        <v>0.2342687</v>
      </c>
      <c r="E38" s="1">
        <v>0.23440849999999999</v>
      </c>
      <c r="F38" s="1">
        <v>0.23452480000000001</v>
      </c>
      <c r="G38" s="1">
        <v>0.2346587</v>
      </c>
      <c r="H38" s="1">
        <v>0.23479249999999999</v>
      </c>
      <c r="I38" s="1">
        <v>0.23492650000000001</v>
      </c>
      <c r="J38" s="1">
        <v>0.23505619999999999</v>
      </c>
      <c r="K38" s="1">
        <v>0.23521690000000001</v>
      </c>
      <c r="L38" s="1">
        <v>0.23541090000000001</v>
      </c>
      <c r="M38" s="1">
        <v>0.2357669</v>
      </c>
      <c r="N38" s="1">
        <v>0.23669809999999999</v>
      </c>
      <c r="O38" s="1">
        <v>0.23829710000000001</v>
      </c>
      <c r="P38" s="1">
        <v>0.24060880000000001</v>
      </c>
      <c r="Q38" s="1">
        <v>0.24305280000000001</v>
      </c>
      <c r="R38" s="97">
        <v>0.24551529999999999</v>
      </c>
      <c r="S38" s="97">
        <v>0.24792790000000001</v>
      </c>
      <c r="T38" s="97">
        <v>0.25031710000000001</v>
      </c>
      <c r="U38" s="97">
        <v>0.25268269999999998</v>
      </c>
      <c r="V38" s="24">
        <v>0.25490699999999999</v>
      </c>
      <c r="W38" s="97">
        <v>0.25751039999999997</v>
      </c>
      <c r="X38" s="97">
        <v>0.26011410000000001</v>
      </c>
      <c r="Y38" s="97">
        <v>0.26318659999999999</v>
      </c>
    </row>
    <row r="39" spans="1:25" x14ac:dyDescent="0.3">
      <c r="A39" s="150"/>
      <c r="B39" s="2" t="s">
        <v>0</v>
      </c>
      <c r="C39" s="35">
        <v>2.2956249999999999E-5</v>
      </c>
      <c r="D39" s="35">
        <v>2.2810940000000002E-5</v>
      </c>
      <c r="E39" s="35">
        <v>2.2685300000000001E-5</v>
      </c>
      <c r="F39" s="35">
        <v>2.2571620000000001E-5</v>
      </c>
      <c r="G39" s="35">
        <v>2.2475799999999999E-5</v>
      </c>
      <c r="H39" s="35">
        <v>2.239072E-5</v>
      </c>
      <c r="I39" s="35">
        <v>2.231511E-5</v>
      </c>
      <c r="J39" s="35">
        <v>2.2246179999999999E-5</v>
      </c>
      <c r="K39" s="35">
        <v>2.2191330000000001E-5</v>
      </c>
      <c r="L39" s="35">
        <v>2.2150310000000001E-5</v>
      </c>
      <c r="M39" s="35">
        <v>2.215276E-5</v>
      </c>
      <c r="N39" s="35">
        <v>2.2296689999999999E-5</v>
      </c>
      <c r="O39" s="35">
        <v>2.2604779999999999E-5</v>
      </c>
      <c r="P39" s="35">
        <v>2.3091139999999999E-5</v>
      </c>
      <c r="Q39" s="35">
        <v>2.361859E-5</v>
      </c>
      <c r="R39" s="67">
        <v>2.4159859999999999E-5</v>
      </c>
      <c r="S39" s="67">
        <v>2.4697300000000002E-5</v>
      </c>
      <c r="T39" s="67">
        <v>2.52374E-5</v>
      </c>
      <c r="U39" s="67">
        <v>2.5778709999999998E-5</v>
      </c>
      <c r="V39" s="93">
        <v>2.6294750000000001E-5</v>
      </c>
      <c r="W39" s="67">
        <v>2.6905340000000001E-5</v>
      </c>
      <c r="X39" s="67">
        <v>2.752474E-5</v>
      </c>
      <c r="Y39" s="67">
        <v>2.826522E-5</v>
      </c>
    </row>
    <row r="40" spans="1:25" x14ac:dyDescent="0.3">
      <c r="A40" s="150"/>
      <c r="B40" s="2" t="s">
        <v>61</v>
      </c>
      <c r="C40" s="35">
        <v>1.004678E-5</v>
      </c>
      <c r="D40" s="35">
        <v>9.9793510000000007E-6</v>
      </c>
      <c r="E40" s="35">
        <v>9.9213249999999994E-6</v>
      </c>
      <c r="F40" s="35">
        <v>9.8689600000000005E-6</v>
      </c>
      <c r="G40" s="35">
        <v>9.8241889999999998E-6</v>
      </c>
      <c r="H40" s="35">
        <v>9.783997E-6</v>
      </c>
      <c r="I40" s="35">
        <v>9.7482730000000006E-6</v>
      </c>
      <c r="J40" s="35">
        <v>9.7153839999999997E-6</v>
      </c>
      <c r="K40" s="35">
        <v>9.6881790000000007E-6</v>
      </c>
      <c r="L40" s="35">
        <v>9.6665160000000001E-6</v>
      </c>
      <c r="M40" s="35">
        <v>9.6607819999999998E-6</v>
      </c>
      <c r="N40" s="35">
        <v>9.7067789999999992E-6</v>
      </c>
      <c r="O40" s="35">
        <v>9.8119940000000005E-6</v>
      </c>
      <c r="P40" s="35">
        <v>9.9808029999999992E-6</v>
      </c>
      <c r="Q40" s="35">
        <v>1.016337E-5</v>
      </c>
      <c r="R40" s="67">
        <v>1.0349900000000001E-5</v>
      </c>
      <c r="S40" s="67">
        <v>1.053376E-5</v>
      </c>
      <c r="T40" s="67">
        <v>1.071783E-5</v>
      </c>
      <c r="U40" s="67">
        <v>1.090094E-5</v>
      </c>
      <c r="V40" s="93">
        <v>1.107498E-5</v>
      </c>
      <c r="W40" s="67">
        <v>1.1279159999999999E-5</v>
      </c>
      <c r="X40" s="67">
        <v>1.148564E-5</v>
      </c>
      <c r="Y40" s="67">
        <v>1.173085E-5</v>
      </c>
    </row>
  </sheetData>
  <mergeCells count="2">
    <mergeCell ref="A25:A32"/>
    <mergeCell ref="A33:A4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6"/>
  <sheetViews>
    <sheetView tabSelected="1" zoomScale="50" zoomScaleNormal="50" workbookViewId="0">
      <pane xSplit="1" topLeftCell="B1" activePane="topRight" state="frozen"/>
      <selection pane="topRight" activeCell="P55" sqref="P55"/>
    </sheetView>
  </sheetViews>
  <sheetFormatPr defaultRowHeight="15.6" x14ac:dyDescent="0.3"/>
  <cols>
    <col min="1" max="1" width="60.796875" style="80" customWidth="1"/>
    <col min="2" max="2" width="29.5" style="80" customWidth="1"/>
    <col min="3" max="3" width="27.59765625" style="80" customWidth="1"/>
    <col min="4" max="4" width="19.796875" style="80" customWidth="1"/>
    <col min="5" max="5" width="19.59765625" style="80" customWidth="1"/>
    <col min="6" max="6" width="19.19921875" style="80" customWidth="1"/>
    <col min="7" max="7" width="18.19921875" style="80" customWidth="1"/>
    <col min="8" max="8" width="19.59765625" style="80" customWidth="1"/>
    <col min="9" max="9" width="18.8984375" style="80" customWidth="1"/>
    <col min="10" max="10" width="11.3984375" style="80" customWidth="1"/>
    <col min="11" max="11" width="11.296875" style="80" customWidth="1"/>
    <col min="12" max="12" width="11.3984375" style="80" customWidth="1"/>
    <col min="13" max="13" width="12.09765625" style="80" customWidth="1"/>
    <col min="14" max="14" width="10.09765625" style="80" customWidth="1"/>
    <col min="15" max="15" width="10.296875" style="80" customWidth="1"/>
    <col min="16" max="16" width="20.3984375" style="80" customWidth="1"/>
    <col min="17" max="17" width="11.3984375" style="80" customWidth="1"/>
    <col min="18" max="18" width="10.8984375" style="80" customWidth="1"/>
    <col min="19" max="19" width="10.19921875" style="80" customWidth="1"/>
    <col min="20" max="20" width="10.8984375" style="80" customWidth="1"/>
    <col min="21" max="16384" width="8.796875" style="80"/>
  </cols>
  <sheetData>
    <row r="1" spans="1:20" x14ac:dyDescent="0.3">
      <c r="A1" s="120"/>
      <c r="B1" s="120"/>
      <c r="C1" s="120" t="s">
        <v>118</v>
      </c>
      <c r="D1" s="120" t="s">
        <v>119</v>
      </c>
      <c r="E1" s="120" t="s">
        <v>124</v>
      </c>
      <c r="F1" s="120" t="s">
        <v>125</v>
      </c>
      <c r="G1" s="120" t="s">
        <v>126</v>
      </c>
      <c r="H1" s="120" t="s">
        <v>127</v>
      </c>
      <c r="I1" s="120" t="s">
        <v>128</v>
      </c>
      <c r="J1" s="120" t="s">
        <v>129</v>
      </c>
      <c r="K1" s="130" t="s">
        <v>130</v>
      </c>
      <c r="L1" s="130" t="s">
        <v>131</v>
      </c>
      <c r="M1" s="130" t="s">
        <v>132</v>
      </c>
      <c r="N1" s="130" t="s">
        <v>133</v>
      </c>
      <c r="O1" s="130" t="s">
        <v>135</v>
      </c>
      <c r="P1" s="130" t="s">
        <v>136</v>
      </c>
      <c r="Q1" s="130" t="s">
        <v>137</v>
      </c>
      <c r="R1" s="130" t="s">
        <v>138</v>
      </c>
      <c r="S1" s="130" t="s">
        <v>139</v>
      </c>
      <c r="T1" s="130" t="s">
        <v>140</v>
      </c>
    </row>
    <row r="2" spans="1:20" x14ac:dyDescent="0.3">
      <c r="A2" s="110" t="s">
        <v>17</v>
      </c>
      <c r="B2" s="110" t="s">
        <v>1</v>
      </c>
      <c r="C2" s="85">
        <v>40</v>
      </c>
      <c r="D2" s="85">
        <v>40</v>
      </c>
      <c r="E2" s="85">
        <v>40</v>
      </c>
      <c r="F2" s="85">
        <v>40</v>
      </c>
      <c r="G2" s="85">
        <v>40</v>
      </c>
      <c r="H2" s="85">
        <v>40</v>
      </c>
      <c r="I2" s="85">
        <v>40</v>
      </c>
      <c r="J2" s="85">
        <v>40</v>
      </c>
      <c r="K2" s="85">
        <v>40</v>
      </c>
      <c r="L2" s="85">
        <v>40</v>
      </c>
      <c r="M2" s="85">
        <v>40</v>
      </c>
      <c r="N2" s="85">
        <v>40</v>
      </c>
      <c r="O2" s="85">
        <v>40</v>
      </c>
      <c r="P2" s="85">
        <v>40</v>
      </c>
      <c r="Q2" s="124">
        <v>40</v>
      </c>
      <c r="R2" s="85">
        <v>40</v>
      </c>
      <c r="S2" s="85">
        <v>40</v>
      </c>
      <c r="T2" s="85">
        <v>40</v>
      </c>
    </row>
    <row r="3" spans="1:20" x14ac:dyDescent="0.3">
      <c r="A3" s="110" t="s">
        <v>16</v>
      </c>
      <c r="B3" s="110" t="s">
        <v>2</v>
      </c>
      <c r="C3" s="85">
        <v>1.0129999999999999</v>
      </c>
      <c r="D3" s="85">
        <v>1.0129999999999999</v>
      </c>
      <c r="E3" s="85">
        <v>1.0129999999999999</v>
      </c>
      <c r="F3" s="85">
        <v>1.0129999999999999</v>
      </c>
      <c r="G3" s="85">
        <v>1.0129999999999999</v>
      </c>
      <c r="H3" s="85">
        <v>1.0129999999999999</v>
      </c>
      <c r="I3" s="85">
        <v>1.0129999999999999</v>
      </c>
      <c r="J3" s="85">
        <v>1.0129999999999999</v>
      </c>
      <c r="K3" s="85">
        <v>1.0129999999999999</v>
      </c>
      <c r="L3" s="85">
        <v>1.0129999999999999</v>
      </c>
      <c r="M3" s="85">
        <v>1.0129999999999999</v>
      </c>
      <c r="N3" s="85">
        <v>1.0129999999999999</v>
      </c>
      <c r="O3" s="85">
        <v>1.0129999999999999</v>
      </c>
      <c r="P3" s="85">
        <v>1.0129999999999999</v>
      </c>
      <c r="Q3" s="124">
        <v>1.0129999999999999</v>
      </c>
      <c r="R3" s="85">
        <v>1.0129999999999999</v>
      </c>
      <c r="S3" s="85">
        <v>1.0129999999999999</v>
      </c>
      <c r="T3" s="85">
        <v>1.0129999999999999</v>
      </c>
    </row>
    <row r="4" spans="1:20" x14ac:dyDescent="0.3">
      <c r="A4" s="110" t="s">
        <v>3</v>
      </c>
      <c r="B4" s="110" t="s">
        <v>1</v>
      </c>
      <c r="C4" s="85">
        <v>40</v>
      </c>
      <c r="D4" s="85">
        <v>40</v>
      </c>
      <c r="E4" s="85">
        <v>40</v>
      </c>
      <c r="F4" s="85">
        <v>40</v>
      </c>
      <c r="G4" s="85">
        <v>40</v>
      </c>
      <c r="H4" s="85">
        <v>40</v>
      </c>
      <c r="I4" s="85">
        <v>40</v>
      </c>
      <c r="J4" s="85">
        <v>40</v>
      </c>
      <c r="K4" s="85">
        <v>40</v>
      </c>
      <c r="L4" s="85">
        <v>40</v>
      </c>
      <c r="M4" s="85">
        <v>40</v>
      </c>
      <c r="N4" s="85">
        <v>40</v>
      </c>
      <c r="O4" s="85">
        <v>40</v>
      </c>
      <c r="P4" s="85">
        <v>40</v>
      </c>
      <c r="Q4" s="124">
        <v>40</v>
      </c>
      <c r="R4" s="85">
        <v>40</v>
      </c>
      <c r="S4" s="85">
        <v>40</v>
      </c>
      <c r="T4" s="85">
        <v>40</v>
      </c>
    </row>
    <row r="5" spans="1:20" x14ac:dyDescent="0.3">
      <c r="A5" s="110" t="s">
        <v>18</v>
      </c>
      <c r="B5" s="110" t="s">
        <v>2</v>
      </c>
      <c r="C5" s="85">
        <v>1.0129999999999999</v>
      </c>
      <c r="D5" s="85">
        <v>1.0129999999999999</v>
      </c>
      <c r="E5" s="85">
        <v>1.0129999999999999</v>
      </c>
      <c r="F5" s="85">
        <v>1.0129999999999999</v>
      </c>
      <c r="G5" s="85">
        <v>1.0129999999999999</v>
      </c>
      <c r="H5" s="85">
        <v>1.0129999999999999</v>
      </c>
      <c r="I5" s="85">
        <v>1.0129999999999999</v>
      </c>
      <c r="J5" s="85">
        <v>1.0129999999999999</v>
      </c>
      <c r="K5" s="85">
        <v>1.0129999999999999</v>
      </c>
      <c r="L5" s="85">
        <v>1.0129999999999999</v>
      </c>
      <c r="M5" s="85">
        <v>1.0129999999999999</v>
      </c>
      <c r="N5" s="85">
        <v>1.0129999999999999</v>
      </c>
      <c r="O5" s="85">
        <v>1.0129999999999999</v>
      </c>
      <c r="P5" s="85">
        <v>1.0129999999999999</v>
      </c>
      <c r="Q5" s="124">
        <v>1.0129999999999999</v>
      </c>
      <c r="R5" s="85">
        <v>1.0129999999999999</v>
      </c>
      <c r="S5" s="85">
        <v>1.0129999999999999</v>
      </c>
      <c r="T5" s="85">
        <v>1.0129999999999999</v>
      </c>
    </row>
    <row r="6" spans="1:20" x14ac:dyDescent="0.3">
      <c r="A6" s="110" t="s">
        <v>4</v>
      </c>
      <c r="B6" s="110" t="s">
        <v>5</v>
      </c>
      <c r="C6" s="86">
        <f>'MEA 30%'!$C$6</f>
        <v>5050.3680000000004</v>
      </c>
      <c r="D6" s="86">
        <f>'MEA 30%'!$C$6</f>
        <v>5050.3680000000004</v>
      </c>
      <c r="E6" s="86">
        <f>'MEA 30%'!$C$6</f>
        <v>5050.3680000000004</v>
      </c>
      <c r="F6" s="86">
        <f>'MEA 30%'!$C$6</f>
        <v>5050.3680000000004</v>
      </c>
      <c r="G6" s="86">
        <f>'MEA 30%'!$C$6</f>
        <v>5050.3680000000004</v>
      </c>
      <c r="H6" s="86">
        <f>'MEA 30%'!$C$6</f>
        <v>5050.3680000000004</v>
      </c>
      <c r="I6" s="86">
        <f>'MEA 30%'!$C$6</f>
        <v>5050.3680000000004</v>
      </c>
      <c r="J6" s="86">
        <f>'MEA 30%'!$C$6</f>
        <v>5050.3680000000004</v>
      </c>
      <c r="K6" s="86">
        <f>'MEA 30%'!$C$6</f>
        <v>5050.3680000000004</v>
      </c>
      <c r="L6" s="86">
        <f>'MEA 30%'!$C$6</f>
        <v>5050.3680000000004</v>
      </c>
      <c r="M6" s="86">
        <f>'MEA 30%'!$C$6</f>
        <v>5050.3680000000004</v>
      </c>
      <c r="N6" s="86">
        <f>'MEA 30%'!$C$6</f>
        <v>5050.3680000000004</v>
      </c>
      <c r="O6" s="86">
        <f>'MEA 30%'!$C$6</f>
        <v>5050.3680000000004</v>
      </c>
      <c r="P6" s="86">
        <f>'MEA 30%'!$C$6</f>
        <v>5050.3680000000004</v>
      </c>
      <c r="Q6" s="125">
        <f>'MEA 30%'!$C$6</f>
        <v>5050.3680000000004</v>
      </c>
      <c r="R6" s="86">
        <f>'MEA 30%'!$C$6</f>
        <v>5050.3680000000004</v>
      </c>
      <c r="S6" s="86">
        <f t="shared" ref="S6" si="0">R6</f>
        <v>5050.3680000000004</v>
      </c>
      <c r="T6" s="86">
        <f>'MEA 30%'!$C$6</f>
        <v>5050.3680000000004</v>
      </c>
    </row>
    <row r="7" spans="1:20" x14ac:dyDescent="0.3">
      <c r="A7" s="81" t="s">
        <v>6</v>
      </c>
      <c r="B7" s="81" t="s">
        <v>5</v>
      </c>
      <c r="C7" s="85">
        <f>C6*C8</f>
        <v>10213.3592064</v>
      </c>
      <c r="D7" s="85">
        <f>D6*D8</f>
        <v>14470.819430400001</v>
      </c>
      <c r="E7" s="85">
        <f>E6*E8</f>
        <v>18802.015027200003</v>
      </c>
      <c r="F7" s="85">
        <f>F6*F8</f>
        <v>12083.5104768</v>
      </c>
      <c r="G7" s="121">
        <f>G8*G6</f>
        <v>8949.7571328000013</v>
      </c>
      <c r="H7" s="85">
        <f>H6*H8</f>
        <v>8025.5397888000007</v>
      </c>
      <c r="I7" s="121">
        <f t="shared" ref="I7:K7" si="1">I8*I6</f>
        <v>7277.580288000001</v>
      </c>
      <c r="J7" s="121">
        <f t="shared" si="1"/>
        <v>47796.682752000008</v>
      </c>
      <c r="K7" s="85">
        <f t="shared" si="1"/>
        <v>30195.1401984</v>
      </c>
      <c r="L7" s="85">
        <v>17115.25</v>
      </c>
      <c r="M7" s="85">
        <f t="shared" ref="M7" si="2">M8*M6</f>
        <v>32700.122726400004</v>
      </c>
      <c r="N7" s="85">
        <f t="shared" ref="N7" si="3">N6*N8</f>
        <v>17220.509999999998</v>
      </c>
      <c r="O7" s="85">
        <f>O8*O6</f>
        <v>9074.4507187200015</v>
      </c>
      <c r="P7" s="85">
        <f t="shared" ref="P7" si="4">P6*P8</f>
        <v>6198.8216832000007</v>
      </c>
      <c r="Q7" s="124">
        <f t="shared" ref="Q7" si="5">Q8*Q6</f>
        <v>26557.360128</v>
      </c>
      <c r="R7" s="85">
        <f t="shared" ref="R7" si="6">R6*R8</f>
        <v>11908.767744000001</v>
      </c>
      <c r="S7" s="86">
        <f t="shared" ref="S7" si="7">S8*$C$6</f>
        <v>6208.9224192000011</v>
      </c>
      <c r="T7" s="85">
        <f t="shared" ref="T7" si="8">T6*T8</f>
        <v>6351.3427968000005</v>
      </c>
    </row>
    <row r="8" spans="1:20" x14ac:dyDescent="0.3">
      <c r="A8" s="110" t="s">
        <v>7</v>
      </c>
      <c r="B8" s="110" t="s">
        <v>29</v>
      </c>
      <c r="C8" s="85">
        <v>2.0223</v>
      </c>
      <c r="D8" s="85">
        <v>2.8653</v>
      </c>
      <c r="E8" s="85">
        <v>3.7229000000000001</v>
      </c>
      <c r="F8" s="85">
        <v>2.3925999999999998</v>
      </c>
      <c r="G8" s="85">
        <v>1.7721</v>
      </c>
      <c r="H8" s="85">
        <v>1.5891</v>
      </c>
      <c r="I8" s="85">
        <v>1.4410000000000001</v>
      </c>
      <c r="J8" s="85">
        <v>9.4640000000000004</v>
      </c>
      <c r="K8" s="85">
        <v>5.9787999999999997</v>
      </c>
      <c r="L8" s="85">
        <f>L7/L6</f>
        <v>3.3889114615014191</v>
      </c>
      <c r="M8" s="85">
        <v>6.4748000000000001</v>
      </c>
      <c r="N8" s="85">
        <v>3.4097535070711671</v>
      </c>
      <c r="O8" s="85">
        <v>1.7967900000000001</v>
      </c>
      <c r="P8" s="78">
        <v>1.2274</v>
      </c>
      <c r="Q8" s="124">
        <v>5.2584999999999997</v>
      </c>
      <c r="R8" s="85">
        <v>2.3580000000000001</v>
      </c>
      <c r="S8" s="85">
        <v>1.2294</v>
      </c>
      <c r="T8" s="85">
        <v>1.2576000000000001</v>
      </c>
    </row>
    <row r="9" spans="1:20" ht="18" x14ac:dyDescent="0.3">
      <c r="A9" s="110" t="s">
        <v>32</v>
      </c>
      <c r="B9" s="110" t="s">
        <v>5</v>
      </c>
      <c r="C9" s="85">
        <v>802.09379999999999</v>
      </c>
      <c r="D9" s="85">
        <v>802.09379999999999</v>
      </c>
      <c r="E9" s="85">
        <v>802.09379999999999</v>
      </c>
      <c r="F9" s="85">
        <v>802.09379999999999</v>
      </c>
      <c r="G9" s="85">
        <v>802.09379999999999</v>
      </c>
      <c r="H9" s="85">
        <v>802.09379999999999</v>
      </c>
      <c r="I9" s="85">
        <v>802.09379999999999</v>
      </c>
      <c r="J9" s="85">
        <v>802.09379999999999</v>
      </c>
      <c r="K9" s="85">
        <v>802.09379999999999</v>
      </c>
      <c r="L9" s="85">
        <v>802.09379999999999</v>
      </c>
      <c r="M9" s="85">
        <v>802.09379999999999</v>
      </c>
      <c r="N9" s="85">
        <v>802.09379999999999</v>
      </c>
      <c r="O9" s="85">
        <v>802.09379999999999</v>
      </c>
      <c r="P9" s="85">
        <v>802.09379999999999</v>
      </c>
      <c r="Q9" s="124">
        <v>802.09379999999999</v>
      </c>
      <c r="R9" s="85">
        <v>802.09379999999999</v>
      </c>
      <c r="S9" s="86">
        <v>802.09379999999999</v>
      </c>
      <c r="T9" s="85">
        <v>802.09379999999999</v>
      </c>
    </row>
    <row r="10" spans="1:20" ht="18" x14ac:dyDescent="0.3">
      <c r="A10" s="110" t="s">
        <v>33</v>
      </c>
      <c r="B10" s="110" t="s">
        <v>5</v>
      </c>
      <c r="C10" s="85">
        <v>80.176339999999996</v>
      </c>
      <c r="D10" s="85">
        <v>80.149799999999999</v>
      </c>
      <c r="E10" s="85">
        <v>80.196020000000004</v>
      </c>
      <c r="F10" s="85">
        <v>80.145250000000004</v>
      </c>
      <c r="G10" s="85">
        <v>80.186840000000004</v>
      </c>
      <c r="H10" s="85">
        <v>80.207030000000003</v>
      </c>
      <c r="I10" s="85">
        <v>80.165530000000004</v>
      </c>
      <c r="J10" s="85">
        <v>80.200069999999997</v>
      </c>
      <c r="K10" s="85">
        <v>80.165409999999994</v>
      </c>
      <c r="L10" s="85">
        <v>80.185730000000007</v>
      </c>
      <c r="M10" s="85">
        <v>80.075580000000002</v>
      </c>
      <c r="N10" s="85">
        <v>80.186899999999994</v>
      </c>
      <c r="O10" s="85">
        <v>80.205929999999995</v>
      </c>
      <c r="P10" s="85">
        <v>80.160979999999995</v>
      </c>
      <c r="Q10" s="124">
        <v>80.163830000000004</v>
      </c>
      <c r="R10" s="85">
        <v>80.183570000000003</v>
      </c>
      <c r="S10" s="85">
        <v>80.189520000000002</v>
      </c>
      <c r="T10" s="85">
        <v>80.132300000000001</v>
      </c>
    </row>
    <row r="11" spans="1:20" x14ac:dyDescent="0.3">
      <c r="A11" s="110" t="s">
        <v>49</v>
      </c>
      <c r="B11" s="110" t="s">
        <v>5</v>
      </c>
      <c r="C11" s="85">
        <v>721.91759999999999</v>
      </c>
      <c r="D11" s="85">
        <v>721.94399999999996</v>
      </c>
      <c r="E11" s="85">
        <v>721.89779999999996</v>
      </c>
      <c r="F11" s="85">
        <v>721.94880000000001</v>
      </c>
      <c r="G11" s="85">
        <v>721.90700000000004</v>
      </c>
      <c r="H11" s="85">
        <v>721.88679999999999</v>
      </c>
      <c r="I11" s="85">
        <v>721.92830000000004</v>
      </c>
      <c r="J11" s="85">
        <v>721.89369999999997</v>
      </c>
      <c r="K11" s="85">
        <v>721.92840000000001</v>
      </c>
      <c r="L11" s="85">
        <v>721.90809999999999</v>
      </c>
      <c r="M11" s="85">
        <v>722.01819999999998</v>
      </c>
      <c r="N11" s="85">
        <v>721.90689999999995</v>
      </c>
      <c r="O11" s="85">
        <v>721.88789999999995</v>
      </c>
      <c r="P11" s="85">
        <v>721.93280000000004</v>
      </c>
      <c r="Q11" s="124">
        <v>721.93</v>
      </c>
      <c r="R11" s="85">
        <v>721.91010000000006</v>
      </c>
      <c r="S11" s="85">
        <v>721.90430000000003</v>
      </c>
      <c r="T11" s="85">
        <v>721.96159999999998</v>
      </c>
    </row>
    <row r="12" spans="1:20" ht="18" x14ac:dyDescent="0.3">
      <c r="A12" s="77" t="s">
        <v>19</v>
      </c>
      <c r="B12" s="77" t="s">
        <v>8</v>
      </c>
      <c r="C12" s="86">
        <f t="shared" ref="C12:T12" si="9">(C9-C10)/C9*100</f>
        <v>90.004119218974139</v>
      </c>
      <c r="D12" s="86">
        <f t="shared" si="9"/>
        <v>90.007428058912808</v>
      </c>
      <c r="E12" s="86">
        <f t="shared" si="9"/>
        <v>90.001665640602141</v>
      </c>
      <c r="F12" s="86">
        <f t="shared" si="9"/>
        <v>90.007995324237626</v>
      </c>
      <c r="G12" s="86">
        <f t="shared" si="9"/>
        <v>90.00281014514762</v>
      </c>
      <c r="H12" s="86">
        <f t="shared" si="9"/>
        <v>90.000292983189752</v>
      </c>
      <c r="I12" s="86">
        <f t="shared" si="9"/>
        <v>90.005466941646972</v>
      </c>
      <c r="J12" s="86">
        <f t="shared" si="9"/>
        <v>90.001160712126193</v>
      </c>
      <c r="K12" s="86">
        <f t="shared" si="9"/>
        <v>90.005481902490715</v>
      </c>
      <c r="L12" s="86">
        <f t="shared" si="9"/>
        <v>90.002948532952132</v>
      </c>
      <c r="M12" s="86">
        <f t="shared" si="9"/>
        <v>90.016681340760883</v>
      </c>
      <c r="N12" s="86">
        <f t="shared" si="9"/>
        <v>90.002802664725749</v>
      </c>
      <c r="O12" s="86">
        <f t="shared" si="9"/>
        <v>90.000430124257292</v>
      </c>
      <c r="P12" s="86">
        <f t="shared" si="9"/>
        <v>90.006034206971805</v>
      </c>
      <c r="Q12" s="125">
        <f t="shared" si="9"/>
        <v>90.005678886933183</v>
      </c>
      <c r="R12" s="86">
        <f t="shared" si="9"/>
        <v>90.003217828139299</v>
      </c>
      <c r="S12" s="86">
        <f t="shared" si="9"/>
        <v>90.002476019637598</v>
      </c>
      <c r="T12" s="86">
        <f t="shared" si="9"/>
        <v>90.009609848623697</v>
      </c>
    </row>
    <row r="13" spans="1:20" x14ac:dyDescent="0.3">
      <c r="A13" s="110" t="s">
        <v>20</v>
      </c>
      <c r="B13" s="110" t="s">
        <v>1</v>
      </c>
      <c r="C13" s="85">
        <v>56.070749999999997</v>
      </c>
      <c r="D13" s="85">
        <v>52.778680000000001</v>
      </c>
      <c r="E13" s="85">
        <v>50.02657</v>
      </c>
      <c r="F13" s="85">
        <v>55.046750000000003</v>
      </c>
      <c r="G13" s="85">
        <v>57.640680000000003</v>
      </c>
      <c r="H13" s="85">
        <v>57.585369999999998</v>
      </c>
      <c r="I13" s="85">
        <v>58.870060000000002</v>
      </c>
      <c r="J13" s="85">
        <v>42.905160000000002</v>
      </c>
      <c r="K13" s="85">
        <v>46.989260000000002</v>
      </c>
      <c r="L13" s="85">
        <v>56.465510000000002</v>
      </c>
      <c r="M13" s="85">
        <v>44.581049999999998</v>
      </c>
      <c r="N13" s="85">
        <v>52.25253</v>
      </c>
      <c r="O13" s="85">
        <v>60.835360000000001</v>
      </c>
      <c r="P13" s="78">
        <v>61.598939999999999</v>
      </c>
      <c r="Q13" s="124">
        <v>46.032739999999997</v>
      </c>
      <c r="R13" s="85">
        <v>55.288960000000003</v>
      </c>
      <c r="S13" s="85">
        <v>62.429189999999998</v>
      </c>
      <c r="T13" s="85">
        <v>60.860720000000001</v>
      </c>
    </row>
    <row r="14" spans="1:20" ht="18" x14ac:dyDescent="0.3">
      <c r="A14" s="110" t="s">
        <v>21</v>
      </c>
      <c r="B14" s="110" t="s">
        <v>1</v>
      </c>
      <c r="C14" s="85">
        <v>36.851590000000002</v>
      </c>
      <c r="D14" s="85">
        <v>41.230359999999997</v>
      </c>
      <c r="E14" s="85">
        <v>43.038519999999998</v>
      </c>
      <c r="F14" s="85">
        <v>38.702379999999998</v>
      </c>
      <c r="G14" s="85">
        <v>35.640619999999998</v>
      </c>
      <c r="H14" s="85">
        <v>33.418909999999997</v>
      </c>
      <c r="I14" s="85">
        <v>32.432209999999998</v>
      </c>
      <c r="J14" s="85">
        <v>42.52328</v>
      </c>
      <c r="K14" s="85">
        <v>43.306640000000002</v>
      </c>
      <c r="L14" s="85">
        <v>41.557780000000001</v>
      </c>
      <c r="M14" s="85">
        <v>43.432130000000001</v>
      </c>
      <c r="N14" s="85">
        <v>42.222250000000003</v>
      </c>
      <c r="O14" s="85">
        <v>34.850859999999997</v>
      </c>
      <c r="P14" s="78">
        <v>29.412430000000001</v>
      </c>
      <c r="Q14" s="124">
        <v>43.980640000000001</v>
      </c>
      <c r="R14" s="85">
        <v>39.843499999999999</v>
      </c>
      <c r="S14" s="85">
        <v>30.932680000000001</v>
      </c>
      <c r="T14" s="85">
        <v>31.319369999999999</v>
      </c>
    </row>
    <row r="15" spans="1:20" x14ac:dyDescent="0.3">
      <c r="A15" s="110" t="s">
        <v>123</v>
      </c>
      <c r="B15" s="110" t="s">
        <v>5</v>
      </c>
      <c r="C15" s="85">
        <f>0.5035709+0.004586183+0.06392705</f>
        <v>0.57208413300000005</v>
      </c>
      <c r="D15" s="85">
        <f>0.04830469+0.006337938</f>
        <v>5.4642627999999999E-2</v>
      </c>
      <c r="E15" s="85">
        <f>0.07526167+0.002276655</f>
        <v>7.7538325000000005E-2</v>
      </c>
      <c r="F15" s="85">
        <f>0.4492907+0.116657</f>
        <v>0.56594769999999994</v>
      </c>
      <c r="G15" s="85">
        <f>0.6011353+0.01101933</f>
        <v>0.61215463000000003</v>
      </c>
      <c r="H15" s="85">
        <f>1.17295+0.07207074</f>
        <v>1.24502074</v>
      </c>
      <c r="I15" s="85">
        <f>1.355189+0.006239994</f>
        <v>1.3614289939999999</v>
      </c>
      <c r="J15" s="85">
        <v>1.469644E-2</v>
      </c>
      <c r="K15" s="78">
        <v>1.253002E-3</v>
      </c>
      <c r="L15" s="85">
        <v>0.43932939999999998</v>
      </c>
      <c r="M15" s="85">
        <v>4.0203679999999999E-2</v>
      </c>
      <c r="N15" s="85">
        <v>5.3533189999999996E-3</v>
      </c>
      <c r="O15" s="85">
        <v>1.550732</v>
      </c>
      <c r="P15" s="85">
        <f>3.080834+260.2819</f>
        <v>263.36273399999999</v>
      </c>
      <c r="Q15" s="124">
        <v>7.8765440000000006E-2</v>
      </c>
      <c r="R15" s="85">
        <v>1.2794949999999999E-2</v>
      </c>
      <c r="S15" s="85">
        <v>2.9925890000000002</v>
      </c>
      <c r="T15" s="85">
        <v>3.0266990000000001E-2</v>
      </c>
    </row>
    <row r="16" spans="1:20" ht="18" x14ac:dyDescent="0.3">
      <c r="A16" s="110" t="s">
        <v>22</v>
      </c>
      <c r="B16" s="110" t="s">
        <v>114</v>
      </c>
      <c r="C16" s="85">
        <f>16403.49/(16711.94+9714.287+9714.287)</f>
        <v>0.45388092709472821</v>
      </c>
      <c r="D16" s="85">
        <f>16404.09/(12143.21+27527.49)</f>
        <v>0.4135064417819701</v>
      </c>
      <c r="E16" s="85">
        <f>16403.04/(31555.91+17883.32)</f>
        <v>0.3317818663437922</v>
      </c>
      <c r="F16" s="85">
        <f>16404.2/(19774.43+20279.49)</f>
        <v>0.409552922660254</v>
      </c>
      <c r="G16" s="85">
        <f>16403.25/(14641.72+17024.84)</f>
        <v>0.51799911326017101</v>
      </c>
      <c r="H16" s="85">
        <f>16402.79/(26257.86+6734.262)</f>
        <v>0.49717293116217259</v>
      </c>
      <c r="I16" s="85">
        <f>16403.73/(23805.92+6921.936)</f>
        <v>0.5338390677175785</v>
      </c>
      <c r="J16" s="85">
        <f>16402.95/40109.87</f>
        <v>0.40895046530941137</v>
      </c>
      <c r="K16" s="85">
        <f>16403.74/28719.78</f>
        <v>0.57116523873093739</v>
      </c>
      <c r="L16" s="78">
        <f>16403.27/28012.02</f>
        <v>0.58557969043289271</v>
      </c>
      <c r="M16" s="85">
        <f>16405.78/54882.21</f>
        <v>0.29892710224314945</v>
      </c>
      <c r="N16" s="85">
        <f>16403.25/32758.17</f>
        <v>0.50073767856995677</v>
      </c>
      <c r="O16" s="85">
        <f>16402.81/29685.99</f>
        <v>0.55254380938617853</v>
      </c>
      <c r="P16" s="85">
        <f>16403.84/(30393.65+4174.744)</f>
        <v>0.47453289267647203</v>
      </c>
      <c r="Q16" s="124">
        <f>16403.77/66858.52</f>
        <v>0.24535048038754073</v>
      </c>
      <c r="R16" s="85">
        <f>16403.32/33980.59</f>
        <v>0.48272616808595736</v>
      </c>
      <c r="S16" s="85">
        <f>0.06478228/0.1202374</f>
        <v>0.53878643417106487</v>
      </c>
      <c r="T16" s="85">
        <f>16404.49/18122.76</f>
        <v>0.90518717899481116</v>
      </c>
    </row>
    <row r="17" spans="1:20" ht="18" x14ac:dyDescent="0.3">
      <c r="A17" s="110" t="s">
        <v>23</v>
      </c>
      <c r="B17" s="110" t="s">
        <v>1</v>
      </c>
      <c r="C17" s="85">
        <v>65</v>
      </c>
      <c r="D17" s="85">
        <v>65</v>
      </c>
      <c r="E17" s="85">
        <v>65</v>
      </c>
      <c r="F17" s="85">
        <v>65</v>
      </c>
      <c r="G17" s="85">
        <v>65</v>
      </c>
      <c r="H17" s="85">
        <v>65</v>
      </c>
      <c r="I17" s="85">
        <v>65</v>
      </c>
      <c r="J17" s="85">
        <v>65</v>
      </c>
      <c r="K17" s="85">
        <v>65</v>
      </c>
      <c r="L17" s="85">
        <v>65</v>
      </c>
      <c r="M17" s="85">
        <v>65</v>
      </c>
      <c r="N17" s="85">
        <v>65</v>
      </c>
      <c r="O17" s="85">
        <v>65</v>
      </c>
      <c r="P17" s="85">
        <v>65</v>
      </c>
      <c r="Q17" s="124">
        <v>65</v>
      </c>
      <c r="R17" s="85">
        <v>65</v>
      </c>
      <c r="S17" s="85">
        <v>65</v>
      </c>
      <c r="T17" s="85">
        <v>65</v>
      </c>
    </row>
    <row r="18" spans="1:20" ht="18" x14ac:dyDescent="0.3">
      <c r="A18" s="110" t="s">
        <v>24</v>
      </c>
      <c r="B18" s="110" t="s">
        <v>114</v>
      </c>
      <c r="C18" s="85">
        <v>0.21</v>
      </c>
      <c r="D18" s="85">
        <v>0.21</v>
      </c>
      <c r="E18" s="85">
        <v>0.21</v>
      </c>
      <c r="F18" s="85">
        <v>0.21</v>
      </c>
      <c r="G18" s="85">
        <v>0.21</v>
      </c>
      <c r="H18" s="85">
        <v>0.21</v>
      </c>
      <c r="I18" s="85">
        <v>0.21</v>
      </c>
      <c r="J18" s="85">
        <v>0.21</v>
      </c>
      <c r="K18" s="85">
        <v>0.21</v>
      </c>
      <c r="L18" s="86">
        <f>5880.746/28003.55</f>
        <v>0.21000001785487912</v>
      </c>
      <c r="M18" s="85">
        <v>0.21</v>
      </c>
      <c r="N18" s="85">
        <f>6878.417/32754.36</f>
        <v>0.21000004274240133</v>
      </c>
      <c r="O18" s="86">
        <f>6233.894/29685.2</f>
        <v>0.21000006737364074</v>
      </c>
      <c r="P18" s="85">
        <v>0.21</v>
      </c>
      <c r="Q18" s="124">
        <v>0.21</v>
      </c>
      <c r="R18" s="85">
        <f>7141.976/34009.41</f>
        <v>0.20999999705963729</v>
      </c>
      <c r="S18" s="85">
        <f>6392.646/30441.17</f>
        <v>0.21000000985507455</v>
      </c>
      <c r="T18" s="85">
        <v>0.21</v>
      </c>
    </row>
    <row r="19" spans="1:20" x14ac:dyDescent="0.3">
      <c r="A19" s="110" t="s">
        <v>25</v>
      </c>
      <c r="B19" s="110" t="s">
        <v>10</v>
      </c>
      <c r="C19" s="85">
        <v>3167.34</v>
      </c>
      <c r="D19" s="85">
        <v>4060.26</v>
      </c>
      <c r="E19" s="85">
        <v>4106.92</v>
      </c>
      <c r="F19" s="85">
        <v>3452.65</v>
      </c>
      <c r="G19" s="85">
        <v>3223.76</v>
      </c>
      <c r="H19" s="85">
        <v>2467.92</v>
      </c>
      <c r="I19" s="85">
        <v>2440.58</v>
      </c>
      <c r="J19" s="85">
        <v>8633.67</v>
      </c>
      <c r="K19" s="85">
        <v>6950.16</v>
      </c>
      <c r="L19" s="85">
        <v>4748.8</v>
      </c>
      <c r="M19" s="85">
        <v>4784.54</v>
      </c>
      <c r="N19" s="85">
        <v>3997.83</v>
      </c>
      <c r="O19" s="85">
        <v>2865.46</v>
      </c>
      <c r="P19" s="78">
        <v>2118.9899999999998</v>
      </c>
      <c r="Q19" s="124">
        <v>3171.19</v>
      </c>
      <c r="R19" s="85">
        <v>2842.2</v>
      </c>
      <c r="S19" s="85">
        <v>2199.9</v>
      </c>
      <c r="T19" s="85">
        <v>2206.96</v>
      </c>
    </row>
    <row r="20" spans="1:20" ht="18" x14ac:dyDescent="0.3">
      <c r="A20" s="110" t="s">
        <v>26</v>
      </c>
      <c r="B20" s="110" t="s">
        <v>1</v>
      </c>
      <c r="C20" s="85">
        <v>121.77889999999999</v>
      </c>
      <c r="D20" s="85">
        <v>120.67010000000001</v>
      </c>
      <c r="E20" s="85">
        <v>112.32510000000001</v>
      </c>
      <c r="F20" s="85">
        <v>121.2393</v>
      </c>
      <c r="G20" s="85">
        <v>122.2227</v>
      </c>
      <c r="H20" s="85">
        <v>121.60290000000001</v>
      </c>
      <c r="I20" s="85">
        <v>122.1481</v>
      </c>
      <c r="J20" s="85">
        <v>106.1177</v>
      </c>
      <c r="K20" s="85">
        <v>114.77809999999999</v>
      </c>
      <c r="L20" s="85">
        <v>119.4251</v>
      </c>
      <c r="M20" s="85">
        <v>99.211039999999997</v>
      </c>
      <c r="N20" s="85">
        <v>113.16800000000001</v>
      </c>
      <c r="O20" s="85">
        <v>120.5645</v>
      </c>
      <c r="P20" s="85">
        <v>122.53919999999999</v>
      </c>
      <c r="Q20" s="151">
        <v>94.54813</v>
      </c>
      <c r="R20" s="85">
        <v>112.5886</v>
      </c>
      <c r="S20" s="85">
        <v>122.3018</v>
      </c>
      <c r="T20" s="85">
        <v>115.0115</v>
      </c>
    </row>
    <row r="21" spans="1:20" x14ac:dyDescent="0.3">
      <c r="A21" s="110" t="s">
        <v>122</v>
      </c>
      <c r="B21" s="110" t="s">
        <v>5</v>
      </c>
      <c r="C21" s="85">
        <f>0.04972941+0.0009295453+0.01825924</f>
        <v>6.8918195299999999E-2</v>
      </c>
      <c r="D21" s="85">
        <f>0.0120301+0.001053255</f>
        <v>1.3083355E-2</v>
      </c>
      <c r="E21" s="85">
        <f>0.01839793+0.0004027076</f>
        <v>1.88006376E-2</v>
      </c>
      <c r="F21" s="85">
        <f>0.02645401+0.02173617</f>
        <v>4.8190179999999999E-2</v>
      </c>
      <c r="G21" s="85">
        <f>0.1952534+0.007784109</f>
        <v>0.203037509</v>
      </c>
      <c r="H21" s="85">
        <f>0.04347934+0.00889098</f>
        <v>5.2370319999999998E-2</v>
      </c>
      <c r="I21" s="85">
        <f>0.07454524+0.0006894994</f>
        <v>7.52347394E-2</v>
      </c>
      <c r="J21" s="85">
        <v>4.4009030000000003E-3</v>
      </c>
      <c r="K21" s="85">
        <v>2.5251439999999999E-4</v>
      </c>
      <c r="L21" s="85">
        <v>1.703315E-2</v>
      </c>
      <c r="M21" s="85">
        <v>8.0409939999999992E-3</v>
      </c>
      <c r="N21" s="78">
        <v>5.7919380000000004E-4</v>
      </c>
      <c r="O21" s="85">
        <v>3.8455570000000001E-2</v>
      </c>
      <c r="P21" s="85">
        <f>0.07866073+13.48198</f>
        <v>13.560640729999999</v>
      </c>
      <c r="Q21" s="124">
        <v>7.7301430000000001E-3</v>
      </c>
      <c r="R21" s="85">
        <v>9.082138E-4</v>
      </c>
      <c r="S21" s="85">
        <v>6.6052760000000002E-2</v>
      </c>
      <c r="T21" s="85">
        <v>7.7762630000000001E-4</v>
      </c>
    </row>
    <row r="22" spans="1:20" x14ac:dyDescent="0.3">
      <c r="A22" s="110" t="s">
        <v>121</v>
      </c>
      <c r="B22" s="110" t="s">
        <v>5</v>
      </c>
      <c r="C22" s="85">
        <f t="shared" ref="C22:N22" si="10">C21+C15</f>
        <v>0.64100232830000003</v>
      </c>
      <c r="D22" s="85">
        <f t="shared" si="10"/>
        <v>6.7725983000000003E-2</v>
      </c>
      <c r="E22" s="85">
        <f t="shared" si="10"/>
        <v>9.6338962600000008E-2</v>
      </c>
      <c r="F22" s="85">
        <f t="shared" si="10"/>
        <v>0.61413787999999991</v>
      </c>
      <c r="G22" s="85">
        <f t="shared" si="10"/>
        <v>0.81519213900000009</v>
      </c>
      <c r="H22" s="85">
        <f t="shared" si="10"/>
        <v>1.29739106</v>
      </c>
      <c r="I22" s="85">
        <f t="shared" si="10"/>
        <v>1.4366637333999999</v>
      </c>
      <c r="J22" s="85">
        <f t="shared" si="10"/>
        <v>1.9097342999999999E-2</v>
      </c>
      <c r="K22" s="78">
        <f t="shared" si="10"/>
        <v>1.5055164000000001E-3</v>
      </c>
      <c r="L22" s="85">
        <f t="shared" si="10"/>
        <v>0.45636254999999998</v>
      </c>
      <c r="M22" s="85">
        <f t="shared" si="10"/>
        <v>4.8244674000000001E-2</v>
      </c>
      <c r="N22" s="85">
        <f t="shared" si="10"/>
        <v>5.9325127999999994E-3</v>
      </c>
      <c r="O22" s="85">
        <f>O21+O15</f>
        <v>1.58918757</v>
      </c>
      <c r="P22" s="85">
        <f t="shared" ref="P22:T22" si="11">P21+P15</f>
        <v>276.92337472999998</v>
      </c>
      <c r="Q22" s="124">
        <f t="shared" si="11"/>
        <v>8.6495583000000001E-2</v>
      </c>
      <c r="R22" s="85">
        <f t="shared" si="11"/>
        <v>1.3703163799999999E-2</v>
      </c>
      <c r="S22" s="126">
        <f t="shared" si="11"/>
        <v>3.05864176</v>
      </c>
      <c r="T22" s="85">
        <f t="shared" si="11"/>
        <v>3.1044616300000001E-2</v>
      </c>
    </row>
    <row r="23" spans="1:20" x14ac:dyDescent="0.3">
      <c r="A23" s="110" t="s">
        <v>120</v>
      </c>
      <c r="B23" s="110" t="s">
        <v>52</v>
      </c>
      <c r="C23" s="85">
        <f t="shared" ref="C23:N23" si="12">C22/C11*1000</f>
        <v>0.88791619472914929</v>
      </c>
      <c r="D23" s="85">
        <f t="shared" si="12"/>
        <v>9.3810576720632075E-2</v>
      </c>
      <c r="E23" s="85">
        <f t="shared" si="12"/>
        <v>0.13345235655240953</v>
      </c>
      <c r="F23" s="85">
        <f t="shared" si="12"/>
        <v>0.85066680628875602</v>
      </c>
      <c r="G23" s="85">
        <f t="shared" si="12"/>
        <v>1.1292204383667148</v>
      </c>
      <c r="H23" s="85">
        <f t="shared" si="12"/>
        <v>1.7972223068769231</v>
      </c>
      <c r="I23" s="85">
        <f t="shared" si="12"/>
        <v>1.9900365914454383</v>
      </c>
      <c r="J23" s="85">
        <f t="shared" si="12"/>
        <v>2.6454508468490585E-2</v>
      </c>
      <c r="K23" s="85">
        <f t="shared" si="12"/>
        <v>2.0854095780135536E-3</v>
      </c>
      <c r="L23" s="85">
        <f t="shared" si="12"/>
        <v>0.63216155906825255</v>
      </c>
      <c r="M23" s="85">
        <f t="shared" si="12"/>
        <v>6.681919375439567E-2</v>
      </c>
      <c r="N23" s="78">
        <f t="shared" si="12"/>
        <v>8.2178363996797919E-3</v>
      </c>
      <c r="O23" s="85">
        <f>O22/O11*1000</f>
        <v>2.2014326185547648</v>
      </c>
      <c r="P23" s="85">
        <f t="shared" ref="P23:T23" si="13">P22/P11*1000</f>
        <v>383.58608270742087</v>
      </c>
      <c r="Q23" s="124">
        <f t="shared" si="13"/>
        <v>0.11981159253667255</v>
      </c>
      <c r="R23" s="85">
        <f t="shared" si="13"/>
        <v>1.898181477167309E-2</v>
      </c>
      <c r="S23" s="127">
        <f t="shared" si="13"/>
        <v>4.2369075236149722</v>
      </c>
      <c r="T23" s="85">
        <f t="shared" si="13"/>
        <v>4.3000370518321201E-2</v>
      </c>
    </row>
    <row r="24" spans="1:20" x14ac:dyDescent="0.3">
      <c r="A24" s="110" t="s">
        <v>34</v>
      </c>
      <c r="B24" s="110" t="s">
        <v>28</v>
      </c>
      <c r="C24" s="85">
        <f t="shared" ref="C24:T24" si="14">C19/C11</f>
        <v>4.3873982293824119</v>
      </c>
      <c r="D24" s="85">
        <f t="shared" si="14"/>
        <v>5.6240650244340289</v>
      </c>
      <c r="E24" s="85">
        <f t="shared" si="14"/>
        <v>5.6890601412000432</v>
      </c>
      <c r="F24" s="85">
        <f t="shared" si="14"/>
        <v>4.7824028518365846</v>
      </c>
      <c r="G24" s="85">
        <f t="shared" si="14"/>
        <v>4.4656167622699323</v>
      </c>
      <c r="H24" s="85">
        <f t="shared" si="14"/>
        <v>3.4187077530715344</v>
      </c>
      <c r="I24" s="85">
        <f t="shared" si="14"/>
        <v>3.3806404320207419</v>
      </c>
      <c r="J24" s="85">
        <f t="shared" si="14"/>
        <v>11.959752523120788</v>
      </c>
      <c r="K24" s="85">
        <f t="shared" si="14"/>
        <v>9.6272151088667517</v>
      </c>
      <c r="L24" s="85">
        <f t="shared" si="14"/>
        <v>6.5781226169923848</v>
      </c>
      <c r="M24" s="85">
        <f t="shared" si="14"/>
        <v>6.6266196613880375</v>
      </c>
      <c r="N24" s="85">
        <f t="shared" si="14"/>
        <v>5.5378747591967885</v>
      </c>
      <c r="O24" s="85">
        <f t="shared" si="14"/>
        <v>3.9693974646201995</v>
      </c>
      <c r="P24" s="78">
        <f t="shared" si="14"/>
        <v>2.935162386305207</v>
      </c>
      <c r="Q24" s="124">
        <f t="shared" si="14"/>
        <v>4.3926557976535126</v>
      </c>
      <c r="R24" s="85">
        <f t="shared" si="14"/>
        <v>3.9370553203231253</v>
      </c>
      <c r="S24" s="126">
        <f t="shared" si="14"/>
        <v>3.0473568310924315</v>
      </c>
      <c r="T24" s="85">
        <f t="shared" si="14"/>
        <v>3.0568938846609019</v>
      </c>
    </row>
    <row r="25" spans="1:20" ht="15.6" customHeight="1" x14ac:dyDescent="0.3">
      <c r="A25" s="143" t="s">
        <v>27</v>
      </c>
      <c r="B25" s="122" t="s">
        <v>36</v>
      </c>
      <c r="C25" s="112"/>
      <c r="D25" s="112"/>
      <c r="E25" s="112"/>
      <c r="F25" s="112"/>
      <c r="G25" s="112"/>
      <c r="H25" s="112"/>
      <c r="I25" s="112"/>
      <c r="J25" s="112"/>
      <c r="K25" s="112"/>
      <c r="L25" s="112"/>
      <c r="M25" s="112"/>
      <c r="N25" s="112"/>
      <c r="O25" s="112"/>
      <c r="P25" s="112"/>
      <c r="Q25" s="112"/>
      <c r="R25" s="112"/>
      <c r="S25" s="112"/>
      <c r="T25" s="112"/>
    </row>
    <row r="26" spans="1:20" x14ac:dyDescent="0.3">
      <c r="A26" s="144"/>
      <c r="B26" s="110" t="s">
        <v>11</v>
      </c>
      <c r="C26" s="85">
        <v>0.84320530000000005</v>
      </c>
      <c r="D26" s="85">
        <v>0.87378100000000003</v>
      </c>
      <c r="E26" s="85">
        <v>0.86808510000000005</v>
      </c>
      <c r="F26" s="85">
        <v>0.87533939999999999</v>
      </c>
      <c r="G26" s="85">
        <v>0.73405520000000002</v>
      </c>
      <c r="H26" s="85">
        <v>0.88333680000000003</v>
      </c>
      <c r="I26" s="85">
        <v>0.85872029999999999</v>
      </c>
      <c r="J26" s="85">
        <v>0.86148360000000002</v>
      </c>
      <c r="K26" s="85">
        <v>0.86660959999999998</v>
      </c>
      <c r="L26" s="85">
        <v>0.86756180000000005</v>
      </c>
      <c r="M26" s="85">
        <v>0.85671649999999999</v>
      </c>
      <c r="N26" s="85">
        <v>0.87169399999999997</v>
      </c>
      <c r="O26" s="85">
        <v>0.875753</v>
      </c>
      <c r="P26" s="85">
        <v>0.86332900000000001</v>
      </c>
      <c r="Q26" s="124">
        <v>0.85155210000000003</v>
      </c>
      <c r="R26" s="85">
        <v>0.88119420000000004</v>
      </c>
      <c r="S26" s="140">
        <v>0.88438779999999995</v>
      </c>
      <c r="T26" s="85">
        <v>0.88015790000000005</v>
      </c>
    </row>
    <row r="27" spans="1:20" x14ac:dyDescent="0.3">
      <c r="A27" s="144"/>
      <c r="B27" s="110" t="s">
        <v>12</v>
      </c>
      <c r="C27" s="85">
        <v>1.3534210000000001E-3</v>
      </c>
      <c r="D27" s="85">
        <v>1.5232290000000001E-3</v>
      </c>
      <c r="E27" s="85">
        <v>2.578571E-3</v>
      </c>
      <c r="F27" s="85">
        <v>1.6181909999999999E-3</v>
      </c>
      <c r="G27" s="85">
        <v>1.046789E-3</v>
      </c>
      <c r="H27" s="85">
        <v>1.54561E-3</v>
      </c>
      <c r="I27" s="85">
        <v>1.350221E-3</v>
      </c>
      <c r="J27" s="85">
        <v>6.4422630000000002E-3</v>
      </c>
      <c r="K27" s="85">
        <v>4.4748460000000002E-3</v>
      </c>
      <c r="L27" s="85">
        <v>2.8081320000000001E-3</v>
      </c>
      <c r="M27" s="85">
        <v>7.3698119999999999E-3</v>
      </c>
      <c r="N27" s="85">
        <v>2.7738580000000001E-3</v>
      </c>
      <c r="O27" s="85">
        <v>1.8983380000000001E-3</v>
      </c>
      <c r="P27" s="85">
        <v>1.3307799999999999E-3</v>
      </c>
      <c r="Q27" s="124">
        <v>1.03172E-2</v>
      </c>
      <c r="R27" s="85">
        <v>1.9945140000000002E-3</v>
      </c>
      <c r="S27" s="128">
        <v>1.430635E-3</v>
      </c>
      <c r="T27" s="87">
        <v>1.5517929999999999E-7</v>
      </c>
    </row>
    <row r="28" spans="1:20" x14ac:dyDescent="0.3">
      <c r="A28" s="144"/>
      <c r="B28" s="110" t="s">
        <v>13</v>
      </c>
      <c r="C28" s="85">
        <v>1.2256530000000001E-4</v>
      </c>
      <c r="D28" s="85">
        <v>1.5461699999999999E-4</v>
      </c>
      <c r="E28" s="85">
        <v>2.7512899999999999E-4</v>
      </c>
      <c r="F28" s="85">
        <v>1.538298E-4</v>
      </c>
      <c r="G28" s="87">
        <v>9.1818019999999995E-5</v>
      </c>
      <c r="H28" s="85">
        <v>1.2798169999999999E-4</v>
      </c>
      <c r="I28" s="85">
        <v>1.089443E-4</v>
      </c>
      <c r="J28" s="85">
        <v>1.043549E-3</v>
      </c>
      <c r="K28" s="85">
        <v>5.0289409999999997E-4</v>
      </c>
      <c r="L28" s="85">
        <v>2.9005460000000003E-4</v>
      </c>
      <c r="M28" s="85">
        <v>1.043181E-3</v>
      </c>
      <c r="N28" s="85">
        <v>2.9121939999999998E-4</v>
      </c>
      <c r="O28" s="85">
        <v>1.6367460000000001E-4</v>
      </c>
      <c r="P28" s="87">
        <v>9.9147849999999996E-5</v>
      </c>
      <c r="Q28" s="124">
        <v>1.554485E-3</v>
      </c>
      <c r="R28" s="85">
        <v>1.952724E-4</v>
      </c>
      <c r="S28" s="128">
        <v>1.109322E-4</v>
      </c>
      <c r="T28" s="85">
        <v>1.347224E-2</v>
      </c>
    </row>
    <row r="29" spans="1:20" x14ac:dyDescent="0.3">
      <c r="A29" s="144"/>
      <c r="B29" s="110" t="s">
        <v>14</v>
      </c>
      <c r="C29" s="87">
        <v>2.111989E-5</v>
      </c>
      <c r="D29" s="87">
        <v>2.6440059999999998E-5</v>
      </c>
      <c r="E29" s="87">
        <v>4.6879860000000002E-5</v>
      </c>
      <c r="F29" s="87">
        <v>2.642652E-5</v>
      </c>
      <c r="G29" s="87">
        <v>1.585094E-5</v>
      </c>
      <c r="H29" s="87">
        <v>2.216231E-5</v>
      </c>
      <c r="I29" s="87">
        <v>1.8889059999999999E-5</v>
      </c>
      <c r="J29" s="85">
        <v>1.7799830000000001E-4</v>
      </c>
      <c r="K29" s="87">
        <v>8.5641840000000007E-5</v>
      </c>
      <c r="L29" s="87">
        <v>4.9569079999999998E-5</v>
      </c>
      <c r="M29" s="85">
        <v>1.7760580000000001E-4</v>
      </c>
      <c r="N29" s="87">
        <v>4.9703339999999998E-5</v>
      </c>
      <c r="O29" s="87">
        <v>2.8288150000000001E-5</v>
      </c>
      <c r="P29" s="87">
        <v>1.7247189999999999E-5</v>
      </c>
      <c r="Q29" s="124">
        <v>2.643535E-4</v>
      </c>
      <c r="R29" s="87">
        <v>3.3478559999999999E-5</v>
      </c>
      <c r="S29" s="128">
        <v>1.926704E-5</v>
      </c>
      <c r="T29" s="85">
        <v>2.338658E-3</v>
      </c>
    </row>
    <row r="30" spans="1:20" x14ac:dyDescent="0.3">
      <c r="A30" s="144"/>
      <c r="B30" s="110" t="s">
        <v>15</v>
      </c>
      <c r="C30" s="85">
        <v>0.15519520000000001</v>
      </c>
      <c r="D30" s="85">
        <v>0.124496</v>
      </c>
      <c r="E30" s="85">
        <v>0.12897639999999999</v>
      </c>
      <c r="F30" s="85">
        <v>0.1227839</v>
      </c>
      <c r="G30" s="85">
        <v>0.2645364</v>
      </c>
      <c r="H30" s="85">
        <v>0.1148709</v>
      </c>
      <c r="I30" s="85">
        <v>0.13967309999999999</v>
      </c>
      <c r="J30" s="85">
        <v>0.13084180000000001</v>
      </c>
      <c r="K30" s="85">
        <v>0.1283263</v>
      </c>
      <c r="L30" s="85">
        <v>0.1292584</v>
      </c>
      <c r="M30" s="85">
        <v>0.1346609</v>
      </c>
      <c r="N30" s="85">
        <v>0.1251901</v>
      </c>
      <c r="O30" s="85">
        <v>0.1220813</v>
      </c>
      <c r="P30" s="85">
        <v>0.10867930000000001</v>
      </c>
      <c r="Q30" s="124">
        <v>0.1362486</v>
      </c>
      <c r="R30" s="85">
        <v>0.11658060000000001</v>
      </c>
      <c r="S30" s="128">
        <v>0.1139187</v>
      </c>
      <c r="T30" s="85">
        <v>0.10402980000000001</v>
      </c>
    </row>
    <row r="31" spans="1:20" x14ac:dyDescent="0.3">
      <c r="A31" s="144"/>
      <c r="B31" s="110" t="s">
        <v>111</v>
      </c>
      <c r="C31" s="87">
        <v>7.3904590000000003E-5</v>
      </c>
      <c r="D31" s="87" t="s">
        <v>134</v>
      </c>
      <c r="E31" s="87" t="s">
        <v>134</v>
      </c>
      <c r="F31" s="87">
        <v>4.2945909999999999E-5</v>
      </c>
      <c r="G31" s="85">
        <v>2.4432799999999998E-4</v>
      </c>
      <c r="H31" s="87">
        <v>8.0145319999999995E-5</v>
      </c>
      <c r="I31" s="85">
        <v>1.2753659999999999E-4</v>
      </c>
      <c r="J31" s="87" t="s">
        <v>134</v>
      </c>
      <c r="K31" s="87"/>
      <c r="L31" s="87">
        <v>3.1915000000000002E-5</v>
      </c>
      <c r="M31" s="87" t="s">
        <v>134</v>
      </c>
      <c r="N31" s="87" t="s">
        <v>134</v>
      </c>
      <c r="O31" s="87">
        <v>7.5251640000000006E-5</v>
      </c>
      <c r="P31" s="85">
        <v>1.539759E-4</v>
      </c>
      <c r="Q31" s="129" t="s">
        <v>134</v>
      </c>
      <c r="R31" s="87" t="s">
        <v>134</v>
      </c>
      <c r="S31" s="128">
        <v>1.3260100000000001E-4</v>
      </c>
      <c r="T31" s="87" t="s">
        <v>134</v>
      </c>
    </row>
    <row r="32" spans="1:20" x14ac:dyDescent="0.3">
      <c r="A32" s="144"/>
      <c r="B32" s="110" t="s">
        <v>55</v>
      </c>
      <c r="C32" s="87">
        <v>1.381447E-6</v>
      </c>
      <c r="D32" s="87">
        <v>1.5094140000000001E-6</v>
      </c>
      <c r="E32" s="87">
        <v>8.125027E-7</v>
      </c>
      <c r="F32" s="87" t="s">
        <v>134</v>
      </c>
      <c r="G32" s="87">
        <v>9.7405510000000005E-6</v>
      </c>
      <c r="H32" s="87" t="s">
        <v>134</v>
      </c>
      <c r="I32" s="87">
        <v>1.1796380000000001E-6</v>
      </c>
      <c r="J32" s="85" t="s">
        <v>134</v>
      </c>
      <c r="K32" s="87">
        <v>4.7937070000000003E-7</v>
      </c>
      <c r="L32" s="85" t="s">
        <v>134</v>
      </c>
      <c r="M32" s="85" t="s">
        <v>134</v>
      </c>
      <c r="N32" s="87">
        <v>1.2045249999999999E-6</v>
      </c>
      <c r="O32" s="85" t="s">
        <v>134</v>
      </c>
      <c r="P32" s="85" t="s">
        <v>134</v>
      </c>
      <c r="Q32" s="85" t="s">
        <v>134</v>
      </c>
      <c r="R32" s="87">
        <v>1.9622320000000001E-6</v>
      </c>
      <c r="S32" s="85" t="s">
        <v>134</v>
      </c>
      <c r="T32" s="85" t="s">
        <v>134</v>
      </c>
    </row>
    <row r="33" spans="1:20" x14ac:dyDescent="0.3">
      <c r="A33" s="144"/>
      <c r="B33" s="110" t="s">
        <v>61</v>
      </c>
      <c r="C33" s="87">
        <v>2.7134779999999998E-5</v>
      </c>
      <c r="D33" s="87">
        <v>1.724027E-5</v>
      </c>
      <c r="E33" s="87">
        <v>3.711965E-5</v>
      </c>
      <c r="F33" s="87">
        <v>3.5286880000000001E-5</v>
      </c>
      <c r="G33" s="85" t="s">
        <v>134</v>
      </c>
      <c r="H33" s="87">
        <v>1.6388709999999998E-5</v>
      </c>
      <c r="I33" s="85" t="s">
        <v>134</v>
      </c>
      <c r="J33" s="87">
        <v>1.079492E-5</v>
      </c>
      <c r="K33" s="85" t="s">
        <v>134</v>
      </c>
      <c r="L33" s="85" t="s">
        <v>134</v>
      </c>
      <c r="M33" s="87">
        <v>3.2072200000000001E-5</v>
      </c>
      <c r="N33" s="85" t="s">
        <v>134</v>
      </c>
      <c r="O33" s="85" t="s">
        <v>134</v>
      </c>
      <c r="P33" s="85" t="s">
        <v>134</v>
      </c>
      <c r="Q33" s="129">
        <v>6.3283710000000006E-5</v>
      </c>
      <c r="R33" s="85" t="s">
        <v>134</v>
      </c>
      <c r="S33" s="85" t="s">
        <v>134</v>
      </c>
      <c r="T33" s="85" t="s">
        <v>134</v>
      </c>
    </row>
    <row r="34" spans="1:20" x14ac:dyDescent="0.3">
      <c r="A34" s="144"/>
      <c r="B34" s="110" t="s">
        <v>104</v>
      </c>
      <c r="C34" s="87" t="s">
        <v>134</v>
      </c>
      <c r="D34" s="87" t="s">
        <v>134</v>
      </c>
      <c r="E34" s="87" t="s">
        <v>134</v>
      </c>
      <c r="F34" s="87" t="s">
        <v>134</v>
      </c>
      <c r="G34" s="85" t="s">
        <v>134</v>
      </c>
      <c r="H34" s="87" t="s">
        <v>134</v>
      </c>
      <c r="I34" s="85" t="s">
        <v>134</v>
      </c>
      <c r="J34" s="87" t="s">
        <v>134</v>
      </c>
      <c r="K34" s="85" t="s">
        <v>134</v>
      </c>
      <c r="L34" s="85" t="s">
        <v>134</v>
      </c>
      <c r="M34" s="87" t="s">
        <v>134</v>
      </c>
      <c r="N34" s="85" t="s">
        <v>134</v>
      </c>
      <c r="O34" s="85" t="s">
        <v>134</v>
      </c>
      <c r="P34" s="85">
        <v>2.6390549999999999E-2</v>
      </c>
      <c r="Q34" s="85" t="s">
        <v>134</v>
      </c>
      <c r="R34" s="85" t="s">
        <v>134</v>
      </c>
      <c r="S34" s="85" t="s">
        <v>134</v>
      </c>
      <c r="T34" s="85" t="s">
        <v>134</v>
      </c>
    </row>
    <row r="35" spans="1:20" x14ac:dyDescent="0.3">
      <c r="A35" s="145"/>
      <c r="B35" s="110" t="s">
        <v>90</v>
      </c>
      <c r="C35" s="87" t="s">
        <v>134</v>
      </c>
      <c r="D35" s="87" t="s">
        <v>134</v>
      </c>
      <c r="E35" s="87" t="s">
        <v>134</v>
      </c>
      <c r="F35" s="87" t="s">
        <v>134</v>
      </c>
      <c r="G35" s="85" t="s">
        <v>134</v>
      </c>
      <c r="H35" s="87" t="s">
        <v>134</v>
      </c>
      <c r="I35" s="85" t="s">
        <v>134</v>
      </c>
      <c r="J35" s="87" t="s">
        <v>134</v>
      </c>
      <c r="K35" s="85" t="s">
        <v>134</v>
      </c>
      <c r="L35" s="85" t="s">
        <v>134</v>
      </c>
      <c r="M35" s="87" t="s">
        <v>134</v>
      </c>
      <c r="N35" s="85" t="s">
        <v>134</v>
      </c>
      <c r="O35" s="85" t="s">
        <v>134</v>
      </c>
      <c r="P35" s="85" t="s">
        <v>134</v>
      </c>
      <c r="Q35" s="85" t="s">
        <v>134</v>
      </c>
      <c r="R35" s="85" t="s">
        <v>134</v>
      </c>
      <c r="S35" s="85" t="s">
        <v>134</v>
      </c>
      <c r="T35" s="87">
        <v>1.2343950000000001E-6</v>
      </c>
    </row>
    <row r="36" spans="1:20" ht="15.6" customHeight="1" x14ac:dyDescent="0.3">
      <c r="A36" s="146" t="s">
        <v>27</v>
      </c>
      <c r="B36" s="122" t="s">
        <v>35</v>
      </c>
      <c r="C36" s="123"/>
      <c r="D36" s="123"/>
      <c r="E36" s="123"/>
      <c r="F36" s="123"/>
      <c r="G36" s="111"/>
      <c r="H36" s="111"/>
      <c r="I36" s="111"/>
      <c r="J36" s="111"/>
    </row>
    <row r="37" spans="1:20" x14ac:dyDescent="0.3">
      <c r="A37" s="147"/>
      <c r="B37" s="110" t="s">
        <v>11</v>
      </c>
      <c r="C37" s="85">
        <v>0.6891427</v>
      </c>
      <c r="D37" s="85">
        <v>0.74096139999999999</v>
      </c>
      <c r="E37" s="85">
        <v>0.73228210000000005</v>
      </c>
      <c r="F37" s="85">
        <v>0.74387479999999995</v>
      </c>
      <c r="G37" s="85">
        <v>0.53139519999999996</v>
      </c>
      <c r="H37" s="85">
        <v>0.75802119999999995</v>
      </c>
      <c r="I37" s="85">
        <v>0.71491289999999996</v>
      </c>
      <c r="J37" s="85">
        <v>0.7254969</v>
      </c>
      <c r="K37" s="85">
        <v>0.73187919999999995</v>
      </c>
      <c r="L37" s="85">
        <v>0.73161869999999996</v>
      </c>
      <c r="M37" s="85">
        <v>0.71833259999999999</v>
      </c>
      <c r="N37" s="85">
        <v>0.73874830000000002</v>
      </c>
      <c r="O37" s="85">
        <v>0.74491110000000005</v>
      </c>
      <c r="P37" s="85">
        <v>0.75497700000000001</v>
      </c>
      <c r="Q37" s="124">
        <v>0.71300209999999997</v>
      </c>
      <c r="R37" s="85">
        <v>0.75462779999999996</v>
      </c>
      <c r="S37" s="140">
        <v>0.75980539999999996</v>
      </c>
      <c r="T37" s="85">
        <v>0.75962070000000004</v>
      </c>
    </row>
    <row r="38" spans="1:20" x14ac:dyDescent="0.3">
      <c r="A38" s="147"/>
      <c r="B38" s="110" t="s">
        <v>12</v>
      </c>
      <c r="C38" s="85">
        <v>7.5986990000000002E-4</v>
      </c>
      <c r="D38" s="85">
        <v>8.8733740000000001E-4</v>
      </c>
      <c r="E38" s="85">
        <v>1.494258E-3</v>
      </c>
      <c r="F38" s="85">
        <v>9.4467770000000002E-4</v>
      </c>
      <c r="G38" s="85">
        <v>5.2056930000000002E-4</v>
      </c>
      <c r="H38" s="85">
        <v>9.1114080000000001E-4</v>
      </c>
      <c r="I38" s="85">
        <v>7.7221229999999998E-4</v>
      </c>
      <c r="J38" s="85">
        <v>3.726984E-3</v>
      </c>
      <c r="K38" s="85">
        <v>2.5961180000000001E-3</v>
      </c>
      <c r="L38" s="85">
        <v>1.6267930000000001E-3</v>
      </c>
      <c r="M38" s="85">
        <v>4.2449769999999996E-3</v>
      </c>
      <c r="N38" s="85">
        <v>1.6149059999999999E-3</v>
      </c>
      <c r="O38" s="85">
        <v>1.109243E-3</v>
      </c>
      <c r="P38" s="85">
        <v>7.9945530000000002E-4</v>
      </c>
      <c r="Q38" s="124">
        <v>5.9343319999999996E-3</v>
      </c>
      <c r="R38" s="85">
        <v>1.173353E-3</v>
      </c>
      <c r="S38" s="128">
        <v>8.4434340000000003E-4</v>
      </c>
      <c r="T38" s="87">
        <v>9.2002670000000001E-8</v>
      </c>
    </row>
    <row r="39" spans="1:20" x14ac:dyDescent="0.3">
      <c r="A39" s="147"/>
      <c r="B39" s="110" t="s">
        <v>13</v>
      </c>
      <c r="C39" s="85">
        <v>1.5736910000000001E-4</v>
      </c>
      <c r="D39" s="85">
        <v>2.059807E-4</v>
      </c>
      <c r="E39" s="85">
        <v>3.646101E-4</v>
      </c>
      <c r="F39" s="85">
        <v>2.0537140000000001E-4</v>
      </c>
      <c r="G39" s="85">
        <v>1.044223E-4</v>
      </c>
      <c r="H39" s="85">
        <v>1.725358E-4</v>
      </c>
      <c r="I39" s="85">
        <v>1.424893E-4</v>
      </c>
      <c r="J39" s="85">
        <v>1.380631E-3</v>
      </c>
      <c r="K39" s="85">
        <v>6.6721930000000003E-4</v>
      </c>
      <c r="L39" s="85">
        <v>3.842734E-4</v>
      </c>
      <c r="M39" s="85">
        <v>1.374119E-3</v>
      </c>
      <c r="N39" s="85">
        <v>3.8772969999999998E-4</v>
      </c>
      <c r="O39" s="85">
        <v>2.187159E-4</v>
      </c>
      <c r="P39" s="85">
        <v>1.3621250000000001E-4</v>
      </c>
      <c r="Q39" s="124">
        <v>2.0447600000000001E-3</v>
      </c>
      <c r="R39" s="85">
        <v>2.62711E-4</v>
      </c>
      <c r="S39" s="128">
        <v>1.497247E-4</v>
      </c>
      <c r="T39" s="85">
        <v>1.8266370000000001E-2</v>
      </c>
    </row>
    <row r="40" spans="1:20" x14ac:dyDescent="0.3">
      <c r="A40" s="147"/>
      <c r="B40" s="110" t="s">
        <v>14</v>
      </c>
      <c r="C40" s="87">
        <v>2.3740089999999999E-5</v>
      </c>
      <c r="D40" s="87">
        <v>3.0836880000000001E-5</v>
      </c>
      <c r="E40" s="87">
        <v>5.4389779999999997E-5</v>
      </c>
      <c r="F40" s="87">
        <v>3.0887180000000003E-5</v>
      </c>
      <c r="G40" s="87">
        <v>1.5781880000000001E-5</v>
      </c>
      <c r="H40" s="87">
        <v>2.6156829999999999E-5</v>
      </c>
      <c r="I40" s="87">
        <v>2.1628509999999999E-5</v>
      </c>
      <c r="J40" s="85">
        <v>2.061671E-4</v>
      </c>
      <c r="K40" s="87">
        <v>9.9475649999999997E-5</v>
      </c>
      <c r="L40" s="87">
        <v>5.7492370000000003E-5</v>
      </c>
      <c r="M40" s="85">
        <v>2.048144E-4</v>
      </c>
      <c r="N40" s="87">
        <v>5.793393E-5</v>
      </c>
      <c r="O40" s="87">
        <v>3.3093470000000002E-5</v>
      </c>
      <c r="P40" s="87">
        <v>2.074391E-5</v>
      </c>
      <c r="Q40" s="124">
        <v>3.044244E-4</v>
      </c>
      <c r="R40" s="87">
        <v>3.9431460000000001E-5</v>
      </c>
      <c r="S40" s="128">
        <v>2.2766149999999999E-5</v>
      </c>
      <c r="T40" s="85">
        <v>2.775989E-3</v>
      </c>
    </row>
    <row r="41" spans="1:20" x14ac:dyDescent="0.3">
      <c r="A41" s="147"/>
      <c r="B41" s="110" t="s">
        <v>15</v>
      </c>
      <c r="C41" s="85">
        <v>0.30986409999999998</v>
      </c>
      <c r="D41" s="85">
        <v>0.25790849999999998</v>
      </c>
      <c r="E41" s="85">
        <v>0.265793</v>
      </c>
      <c r="F41" s="85">
        <v>0.25490699999999999</v>
      </c>
      <c r="G41" s="85">
        <v>0.46783360000000002</v>
      </c>
      <c r="H41" s="85">
        <v>0.24081420000000001</v>
      </c>
      <c r="I41" s="85">
        <v>0.28407389999999999</v>
      </c>
      <c r="J41" s="85">
        <v>0.26918589999999998</v>
      </c>
      <c r="K41" s="85">
        <v>0.26475779999999999</v>
      </c>
      <c r="L41" s="85">
        <v>0.26629330000000001</v>
      </c>
      <c r="M41" s="85">
        <v>0.27583350000000001</v>
      </c>
      <c r="N41" s="85">
        <v>0.2591907</v>
      </c>
      <c r="O41" s="85">
        <v>0.25368170000000001</v>
      </c>
      <c r="P41" s="85">
        <v>0.2321782</v>
      </c>
      <c r="Q41" s="124">
        <v>0.27869470000000002</v>
      </c>
      <c r="R41" s="85">
        <v>0.2438959</v>
      </c>
      <c r="S41" s="128">
        <v>0.23909569999999999</v>
      </c>
      <c r="T41" s="85">
        <v>0.21933649999999999</v>
      </c>
    </row>
    <row r="42" spans="1:20" x14ac:dyDescent="0.3">
      <c r="A42" s="147"/>
      <c r="B42" s="110" t="s">
        <v>111</v>
      </c>
      <c r="C42" s="87">
        <v>4.3518220000000001E-5</v>
      </c>
      <c r="D42" s="87" t="s">
        <v>134</v>
      </c>
      <c r="E42" s="87" t="s">
        <v>134</v>
      </c>
      <c r="F42" s="87">
        <v>2.6294750000000001E-5</v>
      </c>
      <c r="G42" s="85">
        <v>1.2743419999999999E-4</v>
      </c>
      <c r="H42" s="87">
        <v>4.9551529999999997E-5</v>
      </c>
      <c r="I42" s="87">
        <v>7.6499749999999999E-5</v>
      </c>
      <c r="J42" s="87" t="s">
        <v>134</v>
      </c>
      <c r="K42" s="87" t="s">
        <v>134</v>
      </c>
      <c r="L42" s="87">
        <v>1.939113E-5</v>
      </c>
      <c r="M42" s="87" t="s">
        <v>134</v>
      </c>
      <c r="N42" s="87" t="s">
        <v>134</v>
      </c>
      <c r="O42" s="87">
        <v>4.6117179999999998E-5</v>
      </c>
      <c r="P42" s="87">
        <v>9.7013919999999998E-5</v>
      </c>
      <c r="Q42" s="129" t="s">
        <v>134</v>
      </c>
      <c r="R42" s="87" t="s">
        <v>134</v>
      </c>
      <c r="S42" s="128">
        <v>8.2078700000000004E-5</v>
      </c>
      <c r="T42" s="87" t="s">
        <v>134</v>
      </c>
    </row>
    <row r="43" spans="1:20" x14ac:dyDescent="0.3">
      <c r="A43" s="147"/>
      <c r="B43" s="110" t="s">
        <v>55</v>
      </c>
      <c r="C43" s="87">
        <v>4.7261320000000001E-7</v>
      </c>
      <c r="D43" s="87">
        <v>5.3579320000000002E-7</v>
      </c>
      <c r="E43" s="87">
        <v>2.8690400000000001E-7</v>
      </c>
      <c r="F43" s="87" t="s">
        <v>134</v>
      </c>
      <c r="G43" s="87">
        <v>2.9516720000000001E-6</v>
      </c>
      <c r="H43" s="87" t="s">
        <v>134</v>
      </c>
      <c r="I43" s="87">
        <v>4.1109849999999998E-7</v>
      </c>
      <c r="J43" s="85" t="s">
        <v>134</v>
      </c>
      <c r="K43" s="87">
        <v>1.694662E-7</v>
      </c>
      <c r="L43" s="85" t="s">
        <v>134</v>
      </c>
      <c r="M43" s="85" t="s">
        <v>134</v>
      </c>
      <c r="N43" s="87">
        <v>4.2731100000000001E-7</v>
      </c>
      <c r="O43" s="85" t="s">
        <v>134</v>
      </c>
      <c r="P43" s="85" t="s">
        <v>134</v>
      </c>
      <c r="Q43" s="85" t="s">
        <v>134</v>
      </c>
      <c r="R43" s="85" t="s">
        <v>134</v>
      </c>
      <c r="S43" s="85" t="s">
        <v>134</v>
      </c>
      <c r="T43" s="85" t="s">
        <v>134</v>
      </c>
    </row>
    <row r="44" spans="1:20" x14ac:dyDescent="0.3">
      <c r="A44" s="147"/>
      <c r="B44" s="110" t="s">
        <v>61</v>
      </c>
      <c r="C44" s="87">
        <v>8.190462E-6</v>
      </c>
      <c r="D44" s="87">
        <v>5.3993740000000001E-6</v>
      </c>
      <c r="E44" s="87">
        <v>1.1564479999999999E-5</v>
      </c>
      <c r="F44" s="87">
        <v>1.107498E-5</v>
      </c>
      <c r="G44" s="85" t="s">
        <v>134</v>
      </c>
      <c r="H44" s="87">
        <v>5.1940499999999998E-6</v>
      </c>
      <c r="I44" s="85" t="s">
        <v>134</v>
      </c>
      <c r="J44" s="87">
        <v>3.3574869999999999E-6</v>
      </c>
      <c r="K44" s="85" t="s">
        <v>134</v>
      </c>
      <c r="L44" s="85" t="s">
        <v>134</v>
      </c>
      <c r="M44" s="87">
        <v>9.9316979999999997E-6</v>
      </c>
      <c r="N44" s="85" t="s">
        <v>134</v>
      </c>
      <c r="O44" s="85" t="s">
        <v>134</v>
      </c>
      <c r="P44" s="85" t="s">
        <v>134</v>
      </c>
      <c r="Q44" s="129">
        <v>1.956941E-5</v>
      </c>
      <c r="R44" s="87">
        <v>7.0340809999999996E-7</v>
      </c>
      <c r="S44" s="85" t="s">
        <v>134</v>
      </c>
      <c r="T44" s="85" t="s">
        <v>134</v>
      </c>
    </row>
    <row r="45" spans="1:20" x14ac:dyDescent="0.3">
      <c r="A45" s="147"/>
      <c r="B45" s="110" t="s">
        <v>104</v>
      </c>
      <c r="C45" s="85" t="s">
        <v>134</v>
      </c>
      <c r="D45" s="87" t="s">
        <v>134</v>
      </c>
      <c r="E45" s="85" t="s">
        <v>134</v>
      </c>
      <c r="F45" s="85" t="s">
        <v>134</v>
      </c>
      <c r="G45" s="85" t="s">
        <v>134</v>
      </c>
      <c r="H45" s="85" t="s">
        <v>134</v>
      </c>
      <c r="I45" s="85" t="s">
        <v>134</v>
      </c>
      <c r="J45" s="85" t="s">
        <v>134</v>
      </c>
      <c r="K45" s="85" t="s">
        <v>134</v>
      </c>
      <c r="L45" s="85" t="s">
        <v>134</v>
      </c>
      <c r="M45" s="85" t="s">
        <v>134</v>
      </c>
      <c r="N45" s="85" t="s">
        <v>134</v>
      </c>
      <c r="O45" s="85" t="s">
        <v>134</v>
      </c>
      <c r="P45" s="85">
        <v>1.179146E-2</v>
      </c>
      <c r="Q45" s="85" t="s">
        <v>134</v>
      </c>
      <c r="R45" s="85" t="s">
        <v>134</v>
      </c>
      <c r="S45" s="85" t="s">
        <v>134</v>
      </c>
      <c r="T45" s="85" t="s">
        <v>134</v>
      </c>
    </row>
    <row r="46" spans="1:20" x14ac:dyDescent="0.3">
      <c r="A46" s="147"/>
      <c r="B46" s="110" t="s">
        <v>90</v>
      </c>
      <c r="C46" s="85" t="s">
        <v>134</v>
      </c>
      <c r="D46" s="85" t="s">
        <v>134</v>
      </c>
      <c r="E46" s="85" t="s">
        <v>134</v>
      </c>
      <c r="F46" s="85" t="s">
        <v>134</v>
      </c>
      <c r="G46" s="85" t="s">
        <v>134</v>
      </c>
      <c r="H46" s="85" t="s">
        <v>134</v>
      </c>
      <c r="I46" s="85"/>
      <c r="J46" s="85" t="s">
        <v>134</v>
      </c>
      <c r="K46" s="85" t="s">
        <v>134</v>
      </c>
      <c r="L46" s="85" t="s">
        <v>134</v>
      </c>
      <c r="M46" s="85" t="s">
        <v>134</v>
      </c>
      <c r="N46" s="85" t="s">
        <v>134</v>
      </c>
      <c r="O46" s="85" t="s">
        <v>134</v>
      </c>
      <c r="P46" s="85" t="s">
        <v>134</v>
      </c>
      <c r="Q46" s="85" t="s">
        <v>134</v>
      </c>
      <c r="R46" s="85" t="s">
        <v>134</v>
      </c>
      <c r="S46" s="85" t="s">
        <v>134</v>
      </c>
      <c r="T46" s="87">
        <v>4.4594980000000001E-7</v>
      </c>
    </row>
  </sheetData>
  <mergeCells count="2">
    <mergeCell ref="A25:A35"/>
    <mergeCell ref="A36:A46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0"/>
  <sheetViews>
    <sheetView topLeftCell="C8" zoomScale="70" zoomScaleNormal="70" workbookViewId="0">
      <selection activeCell="V34" sqref="V34:V40"/>
    </sheetView>
  </sheetViews>
  <sheetFormatPr defaultRowHeight="15.6" x14ac:dyDescent="0.3"/>
  <cols>
    <col min="1" max="1" width="57.3984375" customWidth="1"/>
    <col min="2" max="2" width="25.09765625" customWidth="1"/>
    <col min="3" max="3" width="9.69921875" customWidth="1"/>
    <col min="4" max="21" width="11.3984375" bestFit="1" customWidth="1"/>
    <col min="22" max="22" width="11.3984375" style="24" bestFit="1" customWidth="1"/>
    <col min="23" max="24" width="12.3984375" bestFit="1" customWidth="1"/>
  </cols>
  <sheetData>
    <row r="1" spans="1:25" x14ac:dyDescent="0.3">
      <c r="A1" s="61" t="s">
        <v>83</v>
      </c>
      <c r="B1" s="62" t="s">
        <v>8</v>
      </c>
      <c r="C1" s="64" t="s">
        <v>89</v>
      </c>
      <c r="W1" s="97"/>
      <c r="X1" s="97"/>
    </row>
    <row r="2" spans="1:25" x14ac:dyDescent="0.3">
      <c r="A2" s="3" t="s">
        <v>17</v>
      </c>
      <c r="B2" s="2" t="s">
        <v>1</v>
      </c>
      <c r="C2" s="96">
        <v>40</v>
      </c>
      <c r="D2" s="96">
        <v>40</v>
      </c>
      <c r="E2" s="96">
        <v>40</v>
      </c>
      <c r="F2" s="96">
        <v>40</v>
      </c>
      <c r="G2" s="96">
        <v>40</v>
      </c>
      <c r="H2" s="96">
        <v>40</v>
      </c>
      <c r="I2" s="96">
        <v>40</v>
      </c>
      <c r="J2" s="96">
        <v>40</v>
      </c>
      <c r="K2" s="96">
        <v>40</v>
      </c>
      <c r="L2" s="96">
        <v>40</v>
      </c>
      <c r="M2" s="96">
        <v>40</v>
      </c>
      <c r="N2" s="96">
        <v>40</v>
      </c>
      <c r="O2" s="96">
        <v>40</v>
      </c>
      <c r="P2" s="96">
        <v>40</v>
      </c>
      <c r="Q2" s="96">
        <v>40</v>
      </c>
      <c r="R2" s="96">
        <v>40</v>
      </c>
      <c r="S2" s="96">
        <v>40</v>
      </c>
      <c r="T2" s="96">
        <v>40</v>
      </c>
      <c r="U2" s="96">
        <v>40</v>
      </c>
      <c r="V2" s="85">
        <v>40</v>
      </c>
      <c r="W2" s="96">
        <v>40</v>
      </c>
      <c r="X2" s="96">
        <v>40</v>
      </c>
      <c r="Y2" s="96">
        <v>40</v>
      </c>
    </row>
    <row r="3" spans="1:25" x14ac:dyDescent="0.3">
      <c r="A3" s="3" t="s">
        <v>16</v>
      </c>
      <c r="B3" s="2" t="s">
        <v>2</v>
      </c>
      <c r="C3" s="96">
        <v>1.0129999999999999</v>
      </c>
      <c r="D3" s="96">
        <v>1.0129999999999999</v>
      </c>
      <c r="E3" s="96">
        <v>1.0129999999999999</v>
      </c>
      <c r="F3" s="96">
        <v>1.0129999999999999</v>
      </c>
      <c r="G3" s="96">
        <v>1.0129999999999999</v>
      </c>
      <c r="H3" s="96">
        <v>1.0129999999999999</v>
      </c>
      <c r="I3" s="96">
        <v>1.0129999999999999</v>
      </c>
      <c r="J3" s="96">
        <v>1.0129999999999999</v>
      </c>
      <c r="K3" s="96">
        <v>1.0129999999999999</v>
      </c>
      <c r="L3" s="96">
        <v>1.0129999999999999</v>
      </c>
      <c r="M3" s="96">
        <v>1.0129999999999999</v>
      </c>
      <c r="N3" s="96">
        <v>1.0129999999999999</v>
      </c>
      <c r="O3" s="96">
        <v>1.0129999999999999</v>
      </c>
      <c r="P3" s="96">
        <v>1.0129999999999999</v>
      </c>
      <c r="Q3" s="96">
        <v>1.0129999999999999</v>
      </c>
      <c r="R3" s="96">
        <v>1.0129999999999999</v>
      </c>
      <c r="S3" s="96">
        <v>1.0129999999999999</v>
      </c>
      <c r="T3" s="96">
        <v>1.0129999999999999</v>
      </c>
      <c r="U3" s="96">
        <v>1.0129999999999999</v>
      </c>
      <c r="V3" s="85">
        <v>1.0129999999999999</v>
      </c>
      <c r="W3" s="96">
        <v>1.0129999999999999</v>
      </c>
      <c r="X3" s="96">
        <v>1.0129999999999999</v>
      </c>
      <c r="Y3" s="96">
        <v>1.0129999999999999</v>
      </c>
    </row>
    <row r="4" spans="1:25" x14ac:dyDescent="0.3">
      <c r="A4" s="3" t="s">
        <v>3</v>
      </c>
      <c r="B4" s="2" t="s">
        <v>1</v>
      </c>
      <c r="C4" s="96">
        <v>40</v>
      </c>
      <c r="D4" s="96">
        <v>40</v>
      </c>
      <c r="E4" s="96">
        <v>40</v>
      </c>
      <c r="F4" s="96">
        <v>40</v>
      </c>
      <c r="G4" s="96">
        <v>40</v>
      </c>
      <c r="H4" s="96">
        <v>40</v>
      </c>
      <c r="I4" s="96">
        <v>40</v>
      </c>
      <c r="J4" s="96">
        <v>40</v>
      </c>
      <c r="K4" s="96">
        <v>40</v>
      </c>
      <c r="L4" s="96">
        <v>40</v>
      </c>
      <c r="M4" s="96">
        <v>40</v>
      </c>
      <c r="N4" s="96">
        <v>40</v>
      </c>
      <c r="O4" s="96">
        <v>40</v>
      </c>
      <c r="P4" s="96">
        <v>40</v>
      </c>
      <c r="Q4" s="96">
        <v>40</v>
      </c>
      <c r="R4" s="96">
        <v>40</v>
      </c>
      <c r="S4" s="96">
        <v>40</v>
      </c>
      <c r="T4" s="96">
        <v>40</v>
      </c>
      <c r="U4" s="96">
        <v>40</v>
      </c>
      <c r="V4" s="85">
        <v>40</v>
      </c>
      <c r="W4" s="96">
        <v>40</v>
      </c>
      <c r="X4" s="96">
        <v>40</v>
      </c>
      <c r="Y4" s="96">
        <v>40</v>
      </c>
    </row>
    <row r="5" spans="1:25" x14ac:dyDescent="0.3">
      <c r="A5" s="3" t="s">
        <v>18</v>
      </c>
      <c r="B5" s="2" t="s">
        <v>2</v>
      </c>
      <c r="C5" s="96">
        <v>1.0129999999999999</v>
      </c>
      <c r="D5" s="96">
        <v>1.0129999999999999</v>
      </c>
      <c r="E5" s="96">
        <v>1.0129999999999999</v>
      </c>
      <c r="F5" s="96">
        <v>1.0129999999999999</v>
      </c>
      <c r="G5" s="96">
        <v>1.0129999999999999</v>
      </c>
      <c r="H5" s="96">
        <v>1.0129999999999999</v>
      </c>
      <c r="I5" s="96">
        <v>1.0129999999999999</v>
      </c>
      <c r="J5" s="96">
        <v>1.0129999999999999</v>
      </c>
      <c r="K5" s="96">
        <v>1.0129999999999999</v>
      </c>
      <c r="L5" s="96">
        <v>1.0129999999999999</v>
      </c>
      <c r="M5" s="96">
        <v>1.0129999999999999</v>
      </c>
      <c r="N5" s="96">
        <v>1.0129999999999999</v>
      </c>
      <c r="O5" s="96">
        <v>1.0129999999999999</v>
      </c>
      <c r="P5" s="96">
        <v>1.0129999999999999</v>
      </c>
      <c r="Q5" s="96">
        <v>1.0129999999999999</v>
      </c>
      <c r="R5" s="96">
        <v>1.0129999999999999</v>
      </c>
      <c r="S5" s="96">
        <v>1.0129999999999999</v>
      </c>
      <c r="T5" s="96">
        <v>1.0129999999999999</v>
      </c>
      <c r="U5" s="96">
        <v>1.0129999999999999</v>
      </c>
      <c r="V5" s="85">
        <v>1.0129999999999999</v>
      </c>
      <c r="W5" s="96">
        <v>1.0129999999999999</v>
      </c>
      <c r="X5" s="96">
        <v>1.0129999999999999</v>
      </c>
      <c r="Y5" s="96">
        <v>1.0129999999999999</v>
      </c>
    </row>
    <row r="6" spans="1:25" x14ac:dyDescent="0.3">
      <c r="A6" s="3" t="s">
        <v>4</v>
      </c>
      <c r="B6" s="2" t="s">
        <v>5</v>
      </c>
      <c r="C6" s="77">
        <f>'MEA 30%'!$C$6</f>
        <v>5050.3680000000004</v>
      </c>
      <c r="D6" s="77">
        <f>'MEA 30%'!$C$6</f>
        <v>5050.3680000000004</v>
      </c>
      <c r="E6" s="77">
        <f>'MEA 30%'!$C$6</f>
        <v>5050.3680000000004</v>
      </c>
      <c r="F6" s="77">
        <f>'MEA 30%'!$C$6</f>
        <v>5050.3680000000004</v>
      </c>
      <c r="G6" s="77">
        <f>'MEA 30%'!$C$6</f>
        <v>5050.3680000000004</v>
      </c>
      <c r="H6" s="77">
        <f>'MEA 30%'!$C$6</f>
        <v>5050.3680000000004</v>
      </c>
      <c r="I6" s="77">
        <f>'MEA 30%'!$C$6</f>
        <v>5050.3680000000004</v>
      </c>
      <c r="J6" s="77">
        <f>'MEA 30%'!$C$6</f>
        <v>5050.3680000000004</v>
      </c>
      <c r="K6" s="77">
        <f>'MEA 30%'!$C$6</f>
        <v>5050.3680000000004</v>
      </c>
      <c r="L6" s="77">
        <f>'MEA 30%'!$C$6</f>
        <v>5050.3680000000004</v>
      </c>
      <c r="M6" s="77">
        <f>'MEA 30%'!$C$6</f>
        <v>5050.3680000000004</v>
      </c>
      <c r="N6" s="77">
        <f>'MEA 30%'!$C$6</f>
        <v>5050.3680000000004</v>
      </c>
      <c r="O6" s="77">
        <f>'MEA 30%'!$C$6</f>
        <v>5050.3680000000004</v>
      </c>
      <c r="P6" s="77">
        <f>'MEA 30%'!$C$6</f>
        <v>5050.3680000000004</v>
      </c>
      <c r="Q6" s="77">
        <f>'MEA 30%'!$C$6</f>
        <v>5050.3680000000004</v>
      </c>
      <c r="R6" s="77">
        <f>'MEA 30%'!$C$6</f>
        <v>5050.3680000000004</v>
      </c>
      <c r="S6" s="77">
        <f>'MEA 30%'!$C$6</f>
        <v>5050.3680000000004</v>
      </c>
      <c r="T6" s="77">
        <f>'MEA 30%'!$C$6</f>
        <v>5050.3680000000004</v>
      </c>
      <c r="U6" s="77">
        <f>'MEA 30%'!$C$6</f>
        <v>5050.3680000000004</v>
      </c>
      <c r="V6" s="86">
        <f>'MEA 30%'!$C$6</f>
        <v>5050.3680000000004</v>
      </c>
      <c r="W6" s="77">
        <f>'MEA 30%'!$C$6</f>
        <v>5050.3680000000004</v>
      </c>
      <c r="X6" s="77">
        <f>'MEA 30%'!$C$6</f>
        <v>5050.3680000000004</v>
      </c>
      <c r="Y6" s="77">
        <f>'MEA 30%'!$C$6</f>
        <v>5050.3680000000004</v>
      </c>
    </row>
    <row r="7" spans="1:25" x14ac:dyDescent="0.3">
      <c r="A7" s="6" t="s">
        <v>6</v>
      </c>
      <c r="B7" s="22" t="s">
        <v>5</v>
      </c>
      <c r="C7" s="31">
        <f>C6*C8</f>
        <v>2525.1840000000002</v>
      </c>
      <c r="D7" s="31">
        <f t="shared" ref="D7:V7" si="0">D6*D8</f>
        <v>3030.2208000000001</v>
      </c>
      <c r="E7" s="31">
        <f t="shared" si="0"/>
        <v>3535.2575999999999</v>
      </c>
      <c r="F7" s="31">
        <f t="shared" si="0"/>
        <v>4040.2944000000007</v>
      </c>
      <c r="G7" s="31">
        <f t="shared" si="0"/>
        <v>4545.3312000000005</v>
      </c>
      <c r="H7" s="31">
        <f t="shared" si="0"/>
        <v>5050.3680000000004</v>
      </c>
      <c r="I7" s="31">
        <f t="shared" si="0"/>
        <v>6060.4416000000001</v>
      </c>
      <c r="J7" s="31">
        <f t="shared" si="0"/>
        <v>7070.5151999999998</v>
      </c>
      <c r="K7" s="31">
        <f t="shared" si="0"/>
        <v>8080.5888000000014</v>
      </c>
      <c r="L7" s="31">
        <f t="shared" si="0"/>
        <v>9090.6624000000011</v>
      </c>
      <c r="M7" s="31">
        <f t="shared" si="0"/>
        <v>10100.736000000001</v>
      </c>
      <c r="N7" s="31">
        <f t="shared" si="0"/>
        <v>11110.809600000002</v>
      </c>
      <c r="O7" s="31">
        <f t="shared" si="0"/>
        <v>12120.8832</v>
      </c>
      <c r="P7" s="31">
        <f t="shared" si="0"/>
        <v>13130.956800000002</v>
      </c>
      <c r="Q7" s="31">
        <f t="shared" si="0"/>
        <v>14141.0304</v>
      </c>
      <c r="R7" s="31">
        <f t="shared" si="0"/>
        <v>15151.104000000001</v>
      </c>
      <c r="S7" s="31">
        <f t="shared" si="0"/>
        <v>16161.177600000003</v>
      </c>
      <c r="T7" s="31">
        <f t="shared" si="0"/>
        <v>17171.251200000002</v>
      </c>
      <c r="U7" s="31">
        <f t="shared" si="0"/>
        <v>18181.324800000002</v>
      </c>
      <c r="V7" s="32">
        <f t="shared" si="0"/>
        <v>18802.015027200003</v>
      </c>
      <c r="W7" s="31">
        <f>W6*W8</f>
        <v>20201.472000000002</v>
      </c>
      <c r="X7" s="31">
        <f>X6*X8</f>
        <v>21211.545600000001</v>
      </c>
      <c r="Y7" s="31">
        <f>Y6*Y8</f>
        <v>22221.619200000005</v>
      </c>
    </row>
    <row r="8" spans="1:25" x14ac:dyDescent="0.3">
      <c r="A8" s="3" t="s">
        <v>7</v>
      </c>
      <c r="B8" s="2" t="s">
        <v>29</v>
      </c>
      <c r="C8" s="78">
        <v>0.5</v>
      </c>
      <c r="D8" s="60">
        <v>0.6</v>
      </c>
      <c r="E8" s="60">
        <v>0.7</v>
      </c>
      <c r="F8" s="60">
        <v>0.8</v>
      </c>
      <c r="G8" s="60">
        <v>0.9</v>
      </c>
      <c r="H8" s="60">
        <v>1</v>
      </c>
      <c r="I8" s="60">
        <v>1.2</v>
      </c>
      <c r="J8" s="60">
        <v>1.4</v>
      </c>
      <c r="K8" s="60">
        <v>1.6</v>
      </c>
      <c r="L8" s="60">
        <v>1.8</v>
      </c>
      <c r="M8" s="60">
        <v>2</v>
      </c>
      <c r="N8" s="60">
        <v>2.2000000000000002</v>
      </c>
      <c r="O8" s="60">
        <v>2.4</v>
      </c>
      <c r="P8" s="60">
        <v>2.6</v>
      </c>
      <c r="Q8" s="60">
        <v>2.8</v>
      </c>
      <c r="R8" s="60">
        <v>3</v>
      </c>
      <c r="S8" s="60">
        <v>3.2</v>
      </c>
      <c r="T8" s="60">
        <v>3.4</v>
      </c>
      <c r="U8" s="60">
        <v>3.6</v>
      </c>
      <c r="V8" s="24">
        <v>3.7229000000000001</v>
      </c>
      <c r="W8" s="60">
        <v>4</v>
      </c>
      <c r="X8" s="60">
        <v>4.2</v>
      </c>
      <c r="Y8" s="60">
        <v>4.4000000000000004</v>
      </c>
    </row>
    <row r="9" spans="1:25" ht="18" x14ac:dyDescent="0.4">
      <c r="A9" s="3" t="s">
        <v>32</v>
      </c>
      <c r="B9" s="2" t="s">
        <v>5</v>
      </c>
      <c r="C9" s="1">
        <v>802.09379999999999</v>
      </c>
      <c r="D9" s="1">
        <v>802.09379999999999</v>
      </c>
      <c r="E9" s="1">
        <v>802.09379999999999</v>
      </c>
      <c r="F9" s="1">
        <v>802.09379999999999</v>
      </c>
      <c r="G9" s="1">
        <v>802.09379999999999</v>
      </c>
      <c r="H9" s="1">
        <v>802.09379999999999</v>
      </c>
      <c r="I9" s="1">
        <v>802.09379999999999</v>
      </c>
      <c r="J9" s="1">
        <v>802.09379999999999</v>
      </c>
      <c r="K9" s="1">
        <v>802.09379999999999</v>
      </c>
      <c r="L9" s="1">
        <v>802.09379999999999</v>
      </c>
      <c r="M9" s="1">
        <v>802.09379999999999</v>
      </c>
      <c r="N9" s="1">
        <v>802.09379999999999</v>
      </c>
      <c r="O9" s="1">
        <v>802.09379999999999</v>
      </c>
      <c r="P9" s="1">
        <v>802.09379999999999</v>
      </c>
      <c r="Q9" s="1">
        <v>802.09379999999999</v>
      </c>
      <c r="R9" s="1">
        <v>802.09379999999999</v>
      </c>
      <c r="S9" s="1">
        <v>802.09379999999999</v>
      </c>
      <c r="T9" s="1">
        <v>802.09379999999999</v>
      </c>
      <c r="U9" s="1">
        <v>802.09379999999999</v>
      </c>
      <c r="V9" s="32">
        <v>802.09379999999999</v>
      </c>
      <c r="W9" s="1">
        <v>802.09379999999999</v>
      </c>
      <c r="X9" s="1">
        <v>802.09379999999999</v>
      </c>
      <c r="Y9" s="1">
        <v>802.09379999999999</v>
      </c>
    </row>
    <row r="10" spans="1:25" ht="18" x14ac:dyDescent="0.4">
      <c r="A10" s="3" t="s">
        <v>33</v>
      </c>
      <c r="B10" s="2" t="s">
        <v>5</v>
      </c>
      <c r="C10" s="97">
        <v>649.08770000000004</v>
      </c>
      <c r="D10" s="97">
        <v>621.92020000000002</v>
      </c>
      <c r="E10" s="97">
        <v>596.15120000000002</v>
      </c>
      <c r="F10" s="97">
        <v>571.59739999999999</v>
      </c>
      <c r="G10" s="97">
        <v>548.18010000000004</v>
      </c>
      <c r="H10" s="97">
        <v>525.71799999999996</v>
      </c>
      <c r="I10" s="97">
        <v>483.31380000000001</v>
      </c>
      <c r="J10" s="97">
        <v>443.6266</v>
      </c>
      <c r="K10" s="97">
        <v>406.13659999999999</v>
      </c>
      <c r="L10" s="97">
        <v>370.42380000000003</v>
      </c>
      <c r="M10" s="97">
        <v>336.15519999999998</v>
      </c>
      <c r="N10" s="97">
        <v>303.15379999999999</v>
      </c>
      <c r="O10" s="97">
        <v>271.1859</v>
      </c>
      <c r="P10" s="97">
        <v>240.16739999999999</v>
      </c>
      <c r="Q10" s="97">
        <v>209.9092</v>
      </c>
      <c r="R10" s="97">
        <v>180.4248</v>
      </c>
      <c r="S10" s="97">
        <v>151.66399999999999</v>
      </c>
      <c r="T10" s="97">
        <v>123.6456</v>
      </c>
      <c r="U10" s="97">
        <v>96.433239999999998</v>
      </c>
      <c r="V10" s="24">
        <v>80.196020000000004</v>
      </c>
      <c r="W10" s="97">
        <v>45.3782</v>
      </c>
      <c r="X10" s="97">
        <v>22.93046</v>
      </c>
      <c r="Y10" s="97">
        <v>5.6356320000000002</v>
      </c>
    </row>
    <row r="11" spans="1:25" x14ac:dyDescent="0.3">
      <c r="A11" s="3" t="s">
        <v>49</v>
      </c>
      <c r="B11" s="2" t="s">
        <v>5</v>
      </c>
      <c r="C11" s="97">
        <v>153.0061</v>
      </c>
      <c r="D11" s="97">
        <v>180.17359999999999</v>
      </c>
      <c r="E11" s="97">
        <v>205.9426</v>
      </c>
      <c r="F11" s="97">
        <v>230.4965</v>
      </c>
      <c r="G11" s="97">
        <v>253.91380000000001</v>
      </c>
      <c r="H11" s="97">
        <v>276.37569999999999</v>
      </c>
      <c r="I11" s="97">
        <v>318.7801</v>
      </c>
      <c r="J11" s="97">
        <v>358.46719999999999</v>
      </c>
      <c r="K11" s="97">
        <v>395.95729999999998</v>
      </c>
      <c r="L11" s="97">
        <v>431.67</v>
      </c>
      <c r="M11" s="97">
        <v>465.91890000000001</v>
      </c>
      <c r="N11" s="97">
        <v>498.94</v>
      </c>
      <c r="O11" s="97">
        <v>530.90800000000002</v>
      </c>
      <c r="P11" s="97">
        <v>561.92639999999994</v>
      </c>
      <c r="Q11" s="97">
        <v>592.18439999999998</v>
      </c>
      <c r="R11" s="97">
        <v>621.66909999999996</v>
      </c>
      <c r="S11" s="97">
        <v>650.42989999999998</v>
      </c>
      <c r="T11" s="97">
        <v>678.44820000000004</v>
      </c>
      <c r="U11" s="97">
        <v>705.66070000000002</v>
      </c>
      <c r="V11" s="24">
        <v>721.89779999999996</v>
      </c>
      <c r="W11" s="97">
        <v>756.71529999999996</v>
      </c>
      <c r="X11" s="97">
        <v>779.16340000000002</v>
      </c>
      <c r="Y11" s="97">
        <v>796.45830000000001</v>
      </c>
    </row>
    <row r="12" spans="1:25" s="105" customFormat="1" ht="18" x14ac:dyDescent="0.4">
      <c r="A12" s="102" t="s">
        <v>19</v>
      </c>
      <c r="B12" s="5" t="s">
        <v>8</v>
      </c>
      <c r="C12" s="103">
        <f>(C9-C10)/C9*100</f>
        <v>19.075836267528803</v>
      </c>
      <c r="D12" s="103">
        <f t="shared" ref="D12:Y12" si="1">(D9-D10)/D9*100</f>
        <v>22.462908951546563</v>
      </c>
      <c r="E12" s="103">
        <f t="shared" si="1"/>
        <v>25.675625469240625</v>
      </c>
      <c r="F12" s="103">
        <f t="shared" si="1"/>
        <v>28.736838509411243</v>
      </c>
      <c r="G12" s="103">
        <f t="shared" si="1"/>
        <v>31.656359892072466</v>
      </c>
      <c r="H12" s="103">
        <f t="shared" si="1"/>
        <v>34.456792958629038</v>
      </c>
      <c r="I12" s="103">
        <f t="shared" si="1"/>
        <v>39.743481373375531</v>
      </c>
      <c r="J12" s="103">
        <f t="shared" si="1"/>
        <v>44.691431351295819</v>
      </c>
      <c r="K12" s="103">
        <f t="shared" si="1"/>
        <v>49.365448280487897</v>
      </c>
      <c r="L12" s="103">
        <f t="shared" si="1"/>
        <v>53.817895114012849</v>
      </c>
      <c r="M12" s="103">
        <f t="shared" si="1"/>
        <v>58.090288193226279</v>
      </c>
      <c r="N12" s="103">
        <f t="shared" si="1"/>
        <v>62.204694762632492</v>
      </c>
      <c r="O12" s="103">
        <f t="shared" si="1"/>
        <v>66.190251065399082</v>
      </c>
      <c r="P12" s="103">
        <f t="shared" si="1"/>
        <v>70.057442159508028</v>
      </c>
      <c r="Q12" s="103">
        <f t="shared" si="1"/>
        <v>73.82984384120661</v>
      </c>
      <c r="R12" s="103">
        <f t="shared" si="1"/>
        <v>77.505773015574988</v>
      </c>
      <c r="S12" s="103">
        <f t="shared" si="1"/>
        <v>81.091488302240961</v>
      </c>
      <c r="T12" s="103">
        <f t="shared" si="1"/>
        <v>84.584645835686558</v>
      </c>
      <c r="U12" s="103">
        <f t="shared" si="1"/>
        <v>87.977311381786024</v>
      </c>
      <c r="V12" s="104">
        <f t="shared" si="1"/>
        <v>90.001665640602141</v>
      </c>
      <c r="W12" s="103">
        <f t="shared" si="1"/>
        <v>94.342532008101799</v>
      </c>
      <c r="X12" s="103">
        <f t="shared" si="1"/>
        <v>97.141174760358453</v>
      </c>
      <c r="Y12" s="103">
        <f t="shared" si="1"/>
        <v>99.29738491931991</v>
      </c>
    </row>
    <row r="13" spans="1:25" x14ac:dyDescent="0.3">
      <c r="A13" s="3" t="s">
        <v>20</v>
      </c>
      <c r="B13" s="2" t="s">
        <v>1</v>
      </c>
      <c r="C13" s="97">
        <v>37.353169999999999</v>
      </c>
      <c r="D13" s="97">
        <v>39.454949999999997</v>
      </c>
      <c r="E13" s="97">
        <v>41.176450000000003</v>
      </c>
      <c r="F13" s="97">
        <v>42.60877</v>
      </c>
      <c r="G13" s="97">
        <v>43.814320000000002</v>
      </c>
      <c r="H13" s="97">
        <v>44.839399999999998</v>
      </c>
      <c r="I13" s="97">
        <v>46.477649999999997</v>
      </c>
      <c r="J13" s="97">
        <v>47.707540000000002</v>
      </c>
      <c r="K13" s="97">
        <v>48.641179999999999</v>
      </c>
      <c r="L13" s="97">
        <v>49.350709999999999</v>
      </c>
      <c r="M13" s="97">
        <v>49.883890000000001</v>
      </c>
      <c r="N13" s="97">
        <v>50.27411</v>
      </c>
      <c r="O13" s="97">
        <v>50.54609</v>
      </c>
      <c r="P13" s="97">
        <v>50.713760000000001</v>
      </c>
      <c r="Q13" s="97">
        <v>50.793140000000001</v>
      </c>
      <c r="R13" s="97">
        <v>50.786630000000002</v>
      </c>
      <c r="S13" s="97">
        <v>50.697789999999998</v>
      </c>
      <c r="T13" s="97">
        <v>50.523060000000001</v>
      </c>
      <c r="U13" s="97">
        <v>50.251519999999999</v>
      </c>
      <c r="V13" s="24">
        <v>50.02657</v>
      </c>
      <c r="W13" s="97">
        <v>49.289029999999997</v>
      </c>
      <c r="X13" s="97">
        <v>48.416260000000001</v>
      </c>
      <c r="Y13" s="97">
        <v>46.868749999999999</v>
      </c>
    </row>
    <row r="14" spans="1:25" ht="18" x14ac:dyDescent="0.4">
      <c r="A14" s="3" t="s">
        <v>21</v>
      </c>
      <c r="B14" s="2" t="s">
        <v>1</v>
      </c>
      <c r="C14" s="97">
        <v>18.604520000000001</v>
      </c>
      <c r="D14" s="97">
        <v>19.95879</v>
      </c>
      <c r="E14" s="97">
        <v>21.348769999999998</v>
      </c>
      <c r="F14" s="97">
        <v>22.716999999999999</v>
      </c>
      <c r="G14" s="97">
        <v>24.032039999999999</v>
      </c>
      <c r="H14" s="97">
        <v>25.285019999999999</v>
      </c>
      <c r="I14" s="97">
        <v>27.586390000000002</v>
      </c>
      <c r="J14" s="97">
        <v>29.63344</v>
      </c>
      <c r="K14" s="97">
        <v>31.456189999999999</v>
      </c>
      <c r="L14" s="97">
        <v>33.085520000000002</v>
      </c>
      <c r="M14" s="97">
        <v>34.55104</v>
      </c>
      <c r="N14" s="97">
        <v>35.874049999999997</v>
      </c>
      <c r="O14" s="97">
        <v>37.0762</v>
      </c>
      <c r="P14" s="97">
        <v>38.174669999999999</v>
      </c>
      <c r="Q14" s="97">
        <v>39.182560000000002</v>
      </c>
      <c r="R14" s="97">
        <v>40.115209999999998</v>
      </c>
      <c r="S14" s="97">
        <v>40.983600000000003</v>
      </c>
      <c r="T14" s="97">
        <v>41.799370000000003</v>
      </c>
      <c r="U14" s="97">
        <v>42.575200000000002</v>
      </c>
      <c r="V14" s="24">
        <v>43.038519999999998</v>
      </c>
      <c r="W14" s="97">
        <v>44.079610000000002</v>
      </c>
      <c r="X14" s="97">
        <v>44.876600000000003</v>
      </c>
      <c r="Y14" s="97">
        <v>45.830539999999999</v>
      </c>
    </row>
    <row r="15" spans="1:25" x14ac:dyDescent="0.3">
      <c r="A15" s="3" t="s">
        <v>84</v>
      </c>
      <c r="B15" s="2" t="s">
        <v>5</v>
      </c>
      <c r="C15">
        <f>0.01819719+0.0002352104</f>
        <v>1.84324004E-2</v>
      </c>
      <c r="D15">
        <f>0.02303526+0.0003227087</f>
        <v>2.3357968699999999E-2</v>
      </c>
      <c r="E15">
        <f>0.02784023+0.0004174158</f>
        <v>2.8257645800000002E-2</v>
      </c>
      <c r="F15">
        <f>0.03251673+0.0005166766</f>
        <v>3.3033406600000002E-2</v>
      </c>
      <c r="G15">
        <f>0.03699898+0.0006181962</f>
        <v>3.7617176199999998E-2</v>
      </c>
      <c r="H15">
        <f>0.04125154+0.0007202638</f>
        <v>4.1971803800000006E-2</v>
      </c>
      <c r="I15">
        <f>0.04900117+0.0009210971</f>
        <v>4.9922267099999994E-2</v>
      </c>
      <c r="J15">
        <f>0.05570243+0.001111687</f>
        <v>5.6814116999999997E-2</v>
      </c>
      <c r="K15">
        <f>0.06138347+0.001287969</f>
        <v>6.2671438999999995E-2</v>
      </c>
      <c r="L15">
        <f>0.06610665+0.00144807</f>
        <v>6.7554719999999999E-2</v>
      </c>
      <c r="M15">
        <f>0.06994528+0.00159136</f>
        <v>7.1536639999999999E-2</v>
      </c>
      <c r="N15">
        <f>0.07297327+0.001718083</f>
        <v>7.4691353000000002E-2</v>
      </c>
      <c r="O15" s="97">
        <f>0.07527401+0.001829433</f>
        <v>7.7103443000000008E-2</v>
      </c>
      <c r="P15" s="97">
        <f>0.07688913+0.001925908</f>
        <v>7.8815038000000004E-2</v>
      </c>
      <c r="Q15">
        <f>0.0779129+0.002010292</f>
        <v>7.992319199999999E-2</v>
      </c>
      <c r="R15">
        <f>0.07835248+0.002082946</f>
        <v>8.0435426000000004E-2</v>
      </c>
      <c r="S15">
        <f>0.0782454+0.002145927</f>
        <v>8.0391327000000012E-2</v>
      </c>
      <c r="T15">
        <f>0.07758854+0.002200796</f>
        <v>7.9789336000000002E-2</v>
      </c>
      <c r="U15">
        <f>0.07635181+0.002249368</f>
        <v>7.8601178000000008E-2</v>
      </c>
      <c r="V15" s="24">
        <f>0.07526167+0.002276655</f>
        <v>7.7538325000000005E-2</v>
      </c>
      <c r="W15">
        <f>0.07158998+0.002333319</f>
        <v>7.3923298999999998E-2</v>
      </c>
      <c r="X15" s="97">
        <f>0.06725992+0.002367852</f>
        <v>6.9627772000000004E-2</v>
      </c>
      <c r="Y15">
        <f>0.05983983+0.002374293</f>
        <v>6.2214122999999996E-2</v>
      </c>
    </row>
    <row r="16" spans="1:25" ht="18" x14ac:dyDescent="0.4">
      <c r="A16" s="3" t="s">
        <v>22</v>
      </c>
      <c r="B16" s="2" t="s">
        <v>85</v>
      </c>
      <c r="C16">
        <f>3476.622/(4238.014+2401.802)</f>
        <v>0.52360216005985705</v>
      </c>
      <c r="D16">
        <f>4093.925/(5085.606+2882.16)</f>
        <v>0.51381089755898957</v>
      </c>
      <c r="E16">
        <f>4679.449/(5933.199+3362.52)</f>
        <v>0.50339828473730752</v>
      </c>
      <c r="F16">
        <f>5237.367/(6780.793+3842.88)</f>
        <v>0.49299023040336432</v>
      </c>
      <c r="G16">
        <f>5769.457/(7628.389+4323.24)</f>
        <v>0.48273394363228644</v>
      </c>
      <c r="H16">
        <f>6279.839/(8475.991+4803.599)</f>
        <v>0.47289404266246171</v>
      </c>
      <c r="I16">
        <f>7243.356/(10171.19+5764.318)</f>
        <v>0.45454189474223217</v>
      </c>
      <c r="J16">
        <f>8145.131/(11866.39+6725.039)</f>
        <v>0.43811215372417045</v>
      </c>
      <c r="K16">
        <f>8996.984/(13561.62+7685.757)</f>
        <v>0.42343974976299431</v>
      </c>
      <c r="L16">
        <f>9808.453/(15256.85+8646.478)</f>
        <v>0.41033838468015832</v>
      </c>
      <c r="M16">
        <f>10587.11/(16952.08+9607.198)</f>
        <v>0.39862190530932351</v>
      </c>
      <c r="N16">
        <f>11336.97/(18647.32+10567.92)</f>
        <v>0.3880498671241448</v>
      </c>
      <c r="O16">
        <f>12063.35/(20342.57+11528.64)</f>
        <v>0.37850304396977713</v>
      </c>
      <c r="P16">
        <f>12768.15/(22037.82+12489.36)</f>
        <v>0.36979996628742917</v>
      </c>
      <c r="Q16">
        <f>13455.68/(23733.08+13450.08)</f>
        <v>0.3618756447811321</v>
      </c>
      <c r="R16">
        <f>14125.63/(25428.34+14410.8)</f>
        <v>0.35456663974172131</v>
      </c>
      <c r="S16">
        <f>14779.14/(27123.61+15371.52)</f>
        <v>0.34778432258002262</v>
      </c>
      <c r="T16">
        <f>15415.77/(28818.89+16332.24)</f>
        <v>0.34142600639230958</v>
      </c>
      <c r="U16">
        <f>16034.1/(30514.16+17292.96)</f>
        <v>0.33539146470232889</v>
      </c>
      <c r="V16" s="24">
        <f>16403.04/(31555.91+17883.32)</f>
        <v>0.3317818663437922</v>
      </c>
      <c r="W16">
        <f>17194.17/(33904.73+19214.4)</f>
        <v>0.32369073062755349</v>
      </c>
      <c r="X16">
        <f>17704.24/(35600.03+20175.12)</f>
        <v>0.31742164745410822</v>
      </c>
      <c r="Y16">
        <f>18097.21/(37295.36+21135.85)</f>
        <v>0.30971821394764887</v>
      </c>
    </row>
    <row r="17" spans="1:25" ht="18" x14ac:dyDescent="0.4">
      <c r="A17" s="3" t="s">
        <v>23</v>
      </c>
      <c r="B17" s="2" t="s">
        <v>1</v>
      </c>
      <c r="C17">
        <v>65</v>
      </c>
      <c r="D17" s="97">
        <v>65</v>
      </c>
      <c r="E17" s="97">
        <v>65</v>
      </c>
      <c r="F17" s="97">
        <v>65</v>
      </c>
      <c r="G17" s="97">
        <v>65</v>
      </c>
      <c r="H17" s="97">
        <v>65</v>
      </c>
      <c r="I17" s="97">
        <v>65</v>
      </c>
      <c r="J17" s="97">
        <v>65</v>
      </c>
      <c r="K17" s="97">
        <v>65</v>
      </c>
      <c r="L17" s="97">
        <v>65</v>
      </c>
      <c r="M17" s="97">
        <v>65</v>
      </c>
      <c r="N17" s="97">
        <v>65</v>
      </c>
      <c r="O17" s="97">
        <v>65</v>
      </c>
      <c r="P17" s="97">
        <v>65</v>
      </c>
      <c r="Q17" s="97">
        <v>65</v>
      </c>
      <c r="R17" s="97">
        <v>65</v>
      </c>
      <c r="S17" s="97">
        <v>65</v>
      </c>
      <c r="T17" s="97">
        <v>65</v>
      </c>
      <c r="U17" s="97">
        <v>65</v>
      </c>
      <c r="V17" s="24">
        <v>65</v>
      </c>
      <c r="W17" s="97">
        <v>65</v>
      </c>
      <c r="X17" s="97">
        <v>65</v>
      </c>
      <c r="Y17" s="97">
        <v>65</v>
      </c>
    </row>
    <row r="18" spans="1:25" ht="18" x14ac:dyDescent="0.4">
      <c r="A18" s="3" t="s">
        <v>24</v>
      </c>
      <c r="B18" s="2" t="s">
        <v>85</v>
      </c>
      <c r="C18">
        <v>0.21</v>
      </c>
      <c r="D18" s="97">
        <v>0.21</v>
      </c>
      <c r="E18" s="97">
        <v>0.21</v>
      </c>
      <c r="F18" s="97">
        <v>0.21</v>
      </c>
      <c r="G18" s="97">
        <v>0.21</v>
      </c>
      <c r="H18" s="97">
        <v>0.21</v>
      </c>
      <c r="I18" s="97">
        <v>0.21</v>
      </c>
      <c r="J18" s="97">
        <v>0.21</v>
      </c>
      <c r="K18" s="97">
        <v>0.21</v>
      </c>
      <c r="L18" s="97">
        <v>0.21</v>
      </c>
      <c r="M18" s="97">
        <v>0.21</v>
      </c>
      <c r="N18" s="97">
        <v>0.21</v>
      </c>
      <c r="O18" s="97">
        <v>0.21</v>
      </c>
      <c r="P18" s="97">
        <v>0.21</v>
      </c>
      <c r="Q18" s="97">
        <v>0.21</v>
      </c>
      <c r="R18" s="97">
        <v>0.21</v>
      </c>
      <c r="S18" s="97">
        <v>0.21</v>
      </c>
      <c r="T18" s="97">
        <v>0.21</v>
      </c>
      <c r="U18" s="97">
        <v>0.21</v>
      </c>
      <c r="V18" s="24">
        <v>0.21</v>
      </c>
      <c r="W18" s="97">
        <v>0.21</v>
      </c>
      <c r="X18" s="97">
        <v>0.21</v>
      </c>
      <c r="Y18" s="97">
        <v>0.21</v>
      </c>
    </row>
    <row r="19" spans="1:25" x14ac:dyDescent="0.3">
      <c r="A19" s="3" t="s">
        <v>25</v>
      </c>
      <c r="B19" s="2" t="s">
        <v>10</v>
      </c>
      <c r="C19" s="60">
        <v>555.57299999999998</v>
      </c>
      <c r="D19" s="60">
        <v>669.98400000000004</v>
      </c>
      <c r="E19" s="60">
        <v>784.99400000000003</v>
      </c>
      <c r="F19" s="60">
        <v>900.47699999999998</v>
      </c>
      <c r="G19" s="60">
        <v>1016.51</v>
      </c>
      <c r="H19" s="60">
        <v>1132.9100000000001</v>
      </c>
      <c r="I19" s="60">
        <v>1366.83</v>
      </c>
      <c r="J19" s="60">
        <v>1601.94</v>
      </c>
      <c r="K19" s="60">
        <v>1837.65</v>
      </c>
      <c r="L19" s="60">
        <v>2071.34</v>
      </c>
      <c r="M19" s="60">
        <v>2293.54</v>
      </c>
      <c r="N19" s="60">
        <v>2509.14</v>
      </c>
      <c r="O19" s="60">
        <v>2722.75</v>
      </c>
      <c r="P19" s="60">
        <v>2934.77</v>
      </c>
      <c r="Q19" s="60">
        <v>3146.95</v>
      </c>
      <c r="R19" s="60">
        <v>3356</v>
      </c>
      <c r="S19" s="60">
        <v>3565.11</v>
      </c>
      <c r="T19" s="60">
        <v>3773.25</v>
      </c>
      <c r="U19" s="60">
        <v>3980.21</v>
      </c>
      <c r="V19" s="24">
        <v>4106.92</v>
      </c>
      <c r="W19" s="60">
        <v>4390.18</v>
      </c>
      <c r="X19" s="60">
        <v>4591.2</v>
      </c>
      <c r="Y19" s="60">
        <v>4785.4799999999996</v>
      </c>
    </row>
    <row r="20" spans="1:25" ht="18" x14ac:dyDescent="0.4">
      <c r="A20" s="3" t="s">
        <v>26</v>
      </c>
      <c r="B20" s="2" t="s">
        <v>1</v>
      </c>
      <c r="C20" s="97">
        <v>112.164</v>
      </c>
      <c r="D20" s="97">
        <v>112.1781</v>
      </c>
      <c r="E20" s="97">
        <v>112.19029999999999</v>
      </c>
      <c r="F20" s="97">
        <v>112.1994</v>
      </c>
      <c r="G20" s="97">
        <v>112.20959999999999</v>
      </c>
      <c r="H20" s="97">
        <v>112.21769999999999</v>
      </c>
      <c r="I20" s="97">
        <v>112.2332</v>
      </c>
      <c r="J20" s="97">
        <v>112.24550000000001</v>
      </c>
      <c r="K20" s="97">
        <v>112.25709999999999</v>
      </c>
      <c r="L20" s="97">
        <v>112.26690000000001</v>
      </c>
      <c r="M20" s="97">
        <v>112.27509999999999</v>
      </c>
      <c r="N20" s="97">
        <v>112.2838</v>
      </c>
      <c r="O20" s="97">
        <v>112.2911</v>
      </c>
      <c r="P20" s="97">
        <v>112.2961</v>
      </c>
      <c r="Q20" s="97">
        <v>112.3027</v>
      </c>
      <c r="R20" s="97">
        <v>112.3087</v>
      </c>
      <c r="S20" s="97">
        <v>112.31440000000001</v>
      </c>
      <c r="T20" s="97">
        <v>112.3185</v>
      </c>
      <c r="U20" s="97">
        <v>112.32210000000001</v>
      </c>
      <c r="V20" s="24">
        <v>112.32510000000001</v>
      </c>
      <c r="W20" s="97">
        <v>112.3318</v>
      </c>
      <c r="X20" s="97">
        <v>112.337</v>
      </c>
      <c r="Y20" s="97">
        <v>112.3412</v>
      </c>
    </row>
    <row r="21" spans="1:25" x14ac:dyDescent="0.3">
      <c r="A21" s="3" t="s">
        <v>86</v>
      </c>
      <c r="B21" s="2" t="s">
        <v>5</v>
      </c>
      <c r="C21">
        <f>0.003890207+0.00007723227</f>
        <v>3.9674392700000003E-3</v>
      </c>
      <c r="D21" s="97">
        <f>0.004517333+0.00008972519</f>
        <v>4.6070581899999999E-3</v>
      </c>
      <c r="E21">
        <f>0.005093366+0.000101207</f>
        <v>5.1945730000000001E-3</v>
      </c>
      <c r="F21">
        <f>0.005625746+0.0001118287</f>
        <v>5.7375747000000003E-3</v>
      </c>
      <c r="G21">
        <f>0.006117079+0.0001216348</f>
        <v>6.2387138000000002E-3</v>
      </c>
      <c r="H21">
        <f>0.006575665+0.0001307972</f>
        <v>6.7064621999999999E-3</v>
      </c>
      <c r="I21">
        <f>0.007405458+0.0001473954</f>
        <v>7.5528534000000001E-3</v>
      </c>
      <c r="J21">
        <f>0.008144447+0.0001622043</f>
        <v>8.3066513000000005E-3</v>
      </c>
      <c r="K21">
        <f>0.008821524+0.0001758517</f>
        <v>8.9973757000000008E-3</v>
      </c>
      <c r="L21">
        <f>0.009502351+0.000189943</f>
        <v>9.6922939999999989E-3</v>
      </c>
      <c r="M21">
        <f>0.01039225+0.0002097659</f>
        <v>1.0602015900000001E-2</v>
      </c>
      <c r="N21">
        <f>0.01137409+0.0002323658</f>
        <v>1.16064558E-2</v>
      </c>
      <c r="O21">
        <f>0.0123542+0.0002552785</f>
        <v>1.26094785E-2</v>
      </c>
      <c r="P21">
        <f>0.0133197+0.0002781506</f>
        <v>1.3597850600000001E-2</v>
      </c>
      <c r="Q21">
        <f>0.01426794+0.0003008498</f>
        <v>1.4568789799999999E-2</v>
      </c>
      <c r="R21">
        <f>0.01519877+0.0003233779</f>
        <v>1.55221479E-2</v>
      </c>
      <c r="S21">
        <f>0.01611032+0.0003456636</f>
        <v>1.6455983600000001E-2</v>
      </c>
      <c r="T21">
        <f>0.01700209+0.0003676916</f>
        <v>1.7369781600000002E-2</v>
      </c>
      <c r="U21">
        <f>0.01787307+0.0003894519</f>
        <v>1.8262521900000002E-2</v>
      </c>
      <c r="V21" s="24">
        <f>0.01839793+0.0004027076</f>
        <v>1.88006376E-2</v>
      </c>
      <c r="W21">
        <f>0.01953546+0.0004319671</f>
        <v>1.9967427100000001E-2</v>
      </c>
      <c r="X21">
        <f>0.02030768+0.0004526184</f>
        <v>2.0760298400000002E-2</v>
      </c>
      <c r="Y21">
        <f>0.02097977+0.000472181</f>
        <v>2.1451950999999997E-2</v>
      </c>
    </row>
    <row r="22" spans="1:25" x14ac:dyDescent="0.3">
      <c r="A22" s="3" t="s">
        <v>87</v>
      </c>
      <c r="B22" s="2" t="s">
        <v>5</v>
      </c>
      <c r="C22" s="97">
        <f>C21+C15</f>
        <v>2.2399839670000001E-2</v>
      </c>
      <c r="D22" s="97">
        <f t="shared" ref="D22:V22" si="2">D21+D15</f>
        <v>2.7965026889999998E-2</v>
      </c>
      <c r="E22" s="97">
        <f t="shared" si="2"/>
        <v>3.3452218800000003E-2</v>
      </c>
      <c r="F22" s="97">
        <f t="shared" si="2"/>
        <v>3.87709813E-2</v>
      </c>
      <c r="G22" s="97">
        <f t="shared" si="2"/>
        <v>4.3855889999999995E-2</v>
      </c>
      <c r="H22" s="97">
        <f t="shared" si="2"/>
        <v>4.8678266000000005E-2</v>
      </c>
      <c r="I22" s="97">
        <f t="shared" si="2"/>
        <v>5.747512049999999E-2</v>
      </c>
      <c r="J22" s="97">
        <f t="shared" si="2"/>
        <v>6.5120768299999993E-2</v>
      </c>
      <c r="K22" s="97">
        <f t="shared" si="2"/>
        <v>7.16688147E-2</v>
      </c>
      <c r="L22" s="97">
        <f t="shared" si="2"/>
        <v>7.7247014000000003E-2</v>
      </c>
      <c r="M22" s="97">
        <f t="shared" si="2"/>
        <v>8.2138655899999996E-2</v>
      </c>
      <c r="N22" s="97">
        <f t="shared" si="2"/>
        <v>8.62978088E-2</v>
      </c>
      <c r="O22" s="97">
        <f t="shared" si="2"/>
        <v>8.9712921500000015E-2</v>
      </c>
      <c r="P22" s="97">
        <f t="shared" si="2"/>
        <v>9.2412888600000007E-2</v>
      </c>
      <c r="Q22" s="97">
        <f t="shared" si="2"/>
        <v>9.4491981799999986E-2</v>
      </c>
      <c r="R22" s="97">
        <f t="shared" si="2"/>
        <v>9.5957573900000009E-2</v>
      </c>
      <c r="S22" s="97">
        <f t="shared" si="2"/>
        <v>9.6847310600000014E-2</v>
      </c>
      <c r="T22" s="97">
        <f t="shared" si="2"/>
        <v>9.7159117600000011E-2</v>
      </c>
      <c r="U22" s="97">
        <f t="shared" si="2"/>
        <v>9.6863699900000017E-2</v>
      </c>
      <c r="V22" s="24">
        <f t="shared" si="2"/>
        <v>9.6338962600000008E-2</v>
      </c>
      <c r="W22" s="97">
        <f>W21+W15</f>
        <v>9.3890726100000002E-2</v>
      </c>
      <c r="X22" s="97">
        <f>X21+X15</f>
        <v>9.0388070400000006E-2</v>
      </c>
      <c r="Y22" s="97">
        <f>Y21+Y15</f>
        <v>8.3666073999999993E-2</v>
      </c>
    </row>
    <row r="23" spans="1:25" x14ac:dyDescent="0.3">
      <c r="A23" s="3" t="s">
        <v>88</v>
      </c>
      <c r="B23" s="2" t="s">
        <v>52</v>
      </c>
      <c r="C23" s="97">
        <f>C22/C11*1000</f>
        <v>0.14639834405294952</v>
      </c>
      <c r="D23" s="97">
        <f t="shared" ref="D23:V23" si="3">D22/D11*1000</f>
        <v>0.15521156756594748</v>
      </c>
      <c r="E23" s="97">
        <f t="shared" si="3"/>
        <v>0.16243467257381428</v>
      </c>
      <c r="F23" s="97">
        <f t="shared" si="3"/>
        <v>0.16820637753718604</v>
      </c>
      <c r="G23" s="97">
        <f t="shared" si="3"/>
        <v>0.17271960011625992</v>
      </c>
      <c r="H23" s="97">
        <f t="shared" si="3"/>
        <v>0.1761307741599569</v>
      </c>
      <c r="I23" s="97">
        <f t="shared" si="3"/>
        <v>0.18029707782888577</v>
      </c>
      <c r="J23" s="97">
        <f t="shared" si="3"/>
        <v>0.18166451016996812</v>
      </c>
      <c r="K23" s="97">
        <f t="shared" si="3"/>
        <v>0.18100137237020256</v>
      </c>
      <c r="L23" s="97">
        <f t="shared" si="3"/>
        <v>0.17894922973567773</v>
      </c>
      <c r="M23" s="97">
        <f t="shared" si="3"/>
        <v>0.17629389127592807</v>
      </c>
      <c r="N23" s="97">
        <f t="shared" si="3"/>
        <v>0.17296229767106266</v>
      </c>
      <c r="O23" s="97">
        <f t="shared" si="3"/>
        <v>0.16898016511335301</v>
      </c>
      <c r="P23" s="97">
        <f t="shared" si="3"/>
        <v>0.1644572823060102</v>
      </c>
      <c r="Q23" s="97">
        <f t="shared" si="3"/>
        <v>0.15956513173937037</v>
      </c>
      <c r="R23" s="97">
        <f t="shared" si="3"/>
        <v>0.1543547425792918</v>
      </c>
      <c r="S23" s="97">
        <f t="shared" si="3"/>
        <v>0.14889738402247499</v>
      </c>
      <c r="T23" s="97">
        <f t="shared" si="3"/>
        <v>0.14320786406390348</v>
      </c>
      <c r="U23" s="97">
        <f t="shared" si="3"/>
        <v>0.13726667773903239</v>
      </c>
      <c r="V23" s="24">
        <f t="shared" si="3"/>
        <v>0.13345235655240953</v>
      </c>
      <c r="W23" s="97">
        <f>W22/W11*1000</f>
        <v>0.12407668524741078</v>
      </c>
      <c r="X23" s="97">
        <f>X22/X11*1000</f>
        <v>0.11600656601683293</v>
      </c>
      <c r="Y23" s="97">
        <f>Y22/Y11*1000</f>
        <v>0.10504765158452112</v>
      </c>
    </row>
    <row r="24" spans="1:25" x14ac:dyDescent="0.3">
      <c r="A24" s="3" t="s">
        <v>34</v>
      </c>
      <c r="B24" s="2" t="s">
        <v>28</v>
      </c>
      <c r="C24" s="97">
        <f>C19/C11</f>
        <v>3.6310513110261615</v>
      </c>
      <c r="D24" s="97">
        <f t="shared" ref="D24:Y24" si="4">D19/D11</f>
        <v>3.7185470013364892</v>
      </c>
      <c r="E24" s="97">
        <f t="shared" si="4"/>
        <v>3.8117125839918504</v>
      </c>
      <c r="F24" s="97">
        <f t="shared" si="4"/>
        <v>3.9066840494324206</v>
      </c>
      <c r="G24" s="97">
        <f t="shared" si="4"/>
        <v>4.003366496818999</v>
      </c>
      <c r="H24" s="97">
        <f t="shared" si="4"/>
        <v>4.0991664607271918</v>
      </c>
      <c r="I24" s="97">
        <f t="shared" si="4"/>
        <v>4.2876892252684531</v>
      </c>
      <c r="J24" s="97">
        <f t="shared" si="4"/>
        <v>4.4688607493237882</v>
      </c>
      <c r="K24" s="97">
        <f t="shared" si="4"/>
        <v>4.6410307374052708</v>
      </c>
      <c r="L24" s="97">
        <f t="shared" si="4"/>
        <v>4.7984339889267265</v>
      </c>
      <c r="M24" s="97">
        <f t="shared" si="4"/>
        <v>4.9226163609160309</v>
      </c>
      <c r="N24" s="97">
        <f t="shared" si="4"/>
        <v>5.0289413556740286</v>
      </c>
      <c r="O24" s="97">
        <f t="shared" si="4"/>
        <v>5.1284780037219253</v>
      </c>
      <c r="P24" s="97">
        <f t="shared" si="4"/>
        <v>5.2226946447079197</v>
      </c>
      <c r="Q24" s="97">
        <f t="shared" si="4"/>
        <v>5.3141386365463186</v>
      </c>
      <c r="R24" s="97">
        <f t="shared" si="4"/>
        <v>5.3983702905613296</v>
      </c>
      <c r="S24" s="97">
        <f t="shared" si="4"/>
        <v>5.4811594608427443</v>
      </c>
      <c r="T24" s="97">
        <f t="shared" si="4"/>
        <v>5.5615889319184575</v>
      </c>
      <c r="U24" s="97">
        <f t="shared" si="4"/>
        <v>5.6404019665541814</v>
      </c>
      <c r="V24" s="24">
        <f t="shared" si="4"/>
        <v>5.6890601412000432</v>
      </c>
      <c r="W24" s="97">
        <f t="shared" si="4"/>
        <v>5.8016271112795001</v>
      </c>
      <c r="X24" s="97">
        <f t="shared" si="4"/>
        <v>5.8924739021365733</v>
      </c>
      <c r="Y24" s="97">
        <f t="shared" si="4"/>
        <v>6.0084501599142097</v>
      </c>
    </row>
    <row r="25" spans="1:25" x14ac:dyDescent="0.3">
      <c r="A25" s="150" t="s">
        <v>27</v>
      </c>
      <c r="B25" s="12" t="s">
        <v>36</v>
      </c>
    </row>
    <row r="26" spans="1:25" x14ac:dyDescent="0.3">
      <c r="A26" s="150"/>
      <c r="B26" s="2" t="s">
        <v>11</v>
      </c>
      <c r="C26" s="97">
        <v>0.88593520000000003</v>
      </c>
      <c r="D26" s="97">
        <v>0.8859901</v>
      </c>
      <c r="E26" s="97">
        <v>0.88604830000000001</v>
      </c>
      <c r="F26" s="97">
        <v>0.88609819999999995</v>
      </c>
      <c r="G26" s="97">
        <v>0.8861443</v>
      </c>
      <c r="H26" s="97">
        <v>0.88617489999999999</v>
      </c>
      <c r="I26" s="97">
        <v>0.88621240000000001</v>
      </c>
      <c r="J26" s="97">
        <v>0.88621570000000005</v>
      </c>
      <c r="K26" s="97">
        <v>0.88613529999999996</v>
      </c>
      <c r="L26" s="97">
        <v>0.8857022</v>
      </c>
      <c r="M26" s="97">
        <v>0.88395659999999998</v>
      </c>
      <c r="N26" s="97">
        <v>0.88174059999999999</v>
      </c>
      <c r="O26" s="97">
        <v>0.87959929999999997</v>
      </c>
      <c r="P26" s="97">
        <v>0.87757589999999996</v>
      </c>
      <c r="Q26" s="97">
        <v>0.87568599999999996</v>
      </c>
      <c r="R26" s="97">
        <v>0.87389859999999997</v>
      </c>
      <c r="S26" s="97">
        <v>0.87220779999999998</v>
      </c>
      <c r="T26" s="97">
        <v>0.87059379999999997</v>
      </c>
      <c r="U26" s="97">
        <v>0.86903410000000003</v>
      </c>
      <c r="V26" s="24">
        <v>0.86808510000000005</v>
      </c>
      <c r="W26" s="97">
        <v>0.86593659999999995</v>
      </c>
      <c r="X26" s="97">
        <v>0.86422339999999997</v>
      </c>
      <c r="Y26" s="97">
        <v>0.86208419999999997</v>
      </c>
    </row>
    <row r="27" spans="1:25" x14ac:dyDescent="0.3">
      <c r="A27" s="150"/>
      <c r="B27" s="2" t="s">
        <v>12</v>
      </c>
      <c r="C27" s="97">
        <v>3.8589660000000001E-3</v>
      </c>
      <c r="D27" s="97">
        <v>3.721701E-3</v>
      </c>
      <c r="E27" s="97">
        <v>3.59107E-3</v>
      </c>
      <c r="F27" s="97">
        <v>3.4719740000000001E-3</v>
      </c>
      <c r="G27" s="97">
        <v>3.3676019999999999E-3</v>
      </c>
      <c r="H27" s="97">
        <v>3.2756420000000001E-3</v>
      </c>
      <c r="I27" s="97">
        <v>3.1262479999999999E-3</v>
      </c>
      <c r="J27" s="97">
        <v>3.0118710000000002E-3</v>
      </c>
      <c r="K27" s="97">
        <v>2.923499E-3</v>
      </c>
      <c r="L27" s="97">
        <v>2.8535489999999999E-3</v>
      </c>
      <c r="M27" s="97">
        <v>2.7939559999999998E-3</v>
      </c>
      <c r="N27" s="97">
        <v>2.744888E-3</v>
      </c>
      <c r="O27" s="97">
        <v>2.7048799999999998E-3</v>
      </c>
      <c r="P27" s="97">
        <v>2.6726010000000001E-3</v>
      </c>
      <c r="Q27" s="97">
        <v>2.6462E-3</v>
      </c>
      <c r="R27" s="97">
        <v>2.6248560000000001E-3</v>
      </c>
      <c r="S27" s="97">
        <v>2.607687E-3</v>
      </c>
      <c r="T27" s="97">
        <v>2.5941039999999999E-3</v>
      </c>
      <c r="U27" s="97">
        <v>2.5835649999999999E-3</v>
      </c>
      <c r="V27" s="24">
        <v>2.578571E-3</v>
      </c>
      <c r="W27" s="97">
        <v>2.5707709999999999E-3</v>
      </c>
      <c r="X27" s="97">
        <v>2.569432E-3</v>
      </c>
      <c r="Y27" s="97">
        <v>2.575861E-3</v>
      </c>
    </row>
    <row r="28" spans="1:25" x14ac:dyDescent="0.3">
      <c r="A28" s="150"/>
      <c r="B28" s="2" t="s">
        <v>13</v>
      </c>
      <c r="C28" s="97">
        <v>2.1597009999999999E-4</v>
      </c>
      <c r="D28" s="97">
        <v>2.160264E-4</v>
      </c>
      <c r="E28" s="97">
        <v>2.1634989999999999E-4</v>
      </c>
      <c r="F28" s="97">
        <v>2.1694729999999999E-4</v>
      </c>
      <c r="G28" s="97">
        <v>2.1791040000000001E-4</v>
      </c>
      <c r="H28" s="97">
        <v>2.1911869999999999E-4</v>
      </c>
      <c r="I28" s="97">
        <v>2.222441E-4</v>
      </c>
      <c r="J28" s="97">
        <v>2.2598989999999999E-4</v>
      </c>
      <c r="K28" s="97">
        <v>2.3014450000000001E-4</v>
      </c>
      <c r="L28" s="97">
        <v>2.3447489999999999E-4</v>
      </c>
      <c r="M28" s="97">
        <v>2.3859080000000001E-4</v>
      </c>
      <c r="N28" s="97">
        <v>2.4268750000000001E-4</v>
      </c>
      <c r="O28" s="97">
        <v>2.4681829999999999E-4</v>
      </c>
      <c r="P28" s="97">
        <v>2.5100719999999999E-4</v>
      </c>
      <c r="Q28" s="97">
        <v>2.5519010000000001E-4</v>
      </c>
      <c r="R28" s="97">
        <v>2.5940289999999998E-4</v>
      </c>
      <c r="S28" s="97">
        <v>2.6364489999999998E-4</v>
      </c>
      <c r="T28" s="97">
        <v>2.6794390000000001E-4</v>
      </c>
      <c r="U28" s="97">
        <v>2.723375E-4</v>
      </c>
      <c r="V28" s="24">
        <v>2.7512899999999999E-4</v>
      </c>
      <c r="W28" s="97">
        <v>2.8186310000000002E-4</v>
      </c>
      <c r="X28" s="97">
        <v>2.8762200000000002E-4</v>
      </c>
      <c r="Y28" s="97">
        <v>2.9553210000000002E-4</v>
      </c>
    </row>
    <row r="29" spans="1:25" x14ac:dyDescent="0.3">
      <c r="A29" s="150"/>
      <c r="B29" s="2" t="s">
        <v>14</v>
      </c>
      <c r="C29" s="67">
        <v>3.7763050000000001E-5</v>
      </c>
      <c r="D29" s="67">
        <v>3.777098E-5</v>
      </c>
      <c r="E29" s="67">
        <v>3.7818660000000002E-5</v>
      </c>
      <c r="F29" s="67">
        <v>3.7907590000000002E-5</v>
      </c>
      <c r="G29" s="67">
        <v>3.8054640000000003E-5</v>
      </c>
      <c r="H29" s="67">
        <v>3.8239699999999999E-5</v>
      </c>
      <c r="I29" s="67">
        <v>3.8722639999999997E-5</v>
      </c>
      <c r="J29" s="67">
        <v>3.9303459999999998E-5</v>
      </c>
      <c r="K29" s="67">
        <v>3.9948930000000002E-5</v>
      </c>
      <c r="L29" s="67">
        <v>4.0620900000000003E-5</v>
      </c>
      <c r="M29" s="67">
        <v>4.1253359999999998E-5</v>
      </c>
      <c r="N29" s="67">
        <v>4.1881619999999997E-5</v>
      </c>
      <c r="O29" s="67">
        <v>4.2515509999999997E-5</v>
      </c>
      <c r="P29" s="67">
        <v>4.3159440000000002E-5</v>
      </c>
      <c r="Q29" s="67">
        <v>4.3802710000000001E-5</v>
      </c>
      <c r="R29" s="67">
        <v>4.44515E-5</v>
      </c>
      <c r="S29" s="67">
        <v>4.5105429999999999E-5</v>
      </c>
      <c r="T29" s="67">
        <v>4.576898E-5</v>
      </c>
      <c r="U29" s="67">
        <v>4.644791E-5</v>
      </c>
      <c r="V29" s="93">
        <v>4.6879860000000002E-5</v>
      </c>
      <c r="W29" s="67">
        <v>4.7923129999999997E-5</v>
      </c>
      <c r="X29" s="67">
        <v>4.88185E-5</v>
      </c>
      <c r="Y29" s="67">
        <v>5.005508E-5</v>
      </c>
    </row>
    <row r="30" spans="1:25" x14ac:dyDescent="0.3">
      <c r="A30" s="150"/>
      <c r="B30" s="2" t="s">
        <v>15</v>
      </c>
      <c r="C30" s="97">
        <v>0.10992109999999999</v>
      </c>
      <c r="D30" s="97">
        <v>0.1100039</v>
      </c>
      <c r="E30" s="97">
        <v>0.1100761</v>
      </c>
      <c r="F30" s="97">
        <v>0.1101447</v>
      </c>
      <c r="G30" s="97">
        <v>0.11020199999999999</v>
      </c>
      <c r="H30" s="97">
        <v>0.1102621</v>
      </c>
      <c r="I30" s="97">
        <v>0.1103707</v>
      </c>
      <c r="J30" s="97">
        <v>0.11047750000000001</v>
      </c>
      <c r="K30" s="97">
        <v>0.11064160000000001</v>
      </c>
      <c r="L30" s="97">
        <v>0.1111395</v>
      </c>
      <c r="M30" s="97">
        <v>0.1129394</v>
      </c>
      <c r="N30" s="97">
        <v>0.1151987</v>
      </c>
      <c r="O30" s="97">
        <v>0.1173742</v>
      </c>
      <c r="P30" s="97">
        <v>0.11942410000000001</v>
      </c>
      <c r="Q30" s="97">
        <v>0.1213346</v>
      </c>
      <c r="R30" s="97">
        <v>0.1231377</v>
      </c>
      <c r="S30" s="97">
        <v>0.1248399</v>
      </c>
      <c r="T30" s="97">
        <v>0.12646160000000001</v>
      </c>
      <c r="U30" s="97">
        <v>0.128026</v>
      </c>
      <c r="V30" s="24">
        <v>0.12897639999999999</v>
      </c>
      <c r="W30" s="97">
        <v>0.13112389999999999</v>
      </c>
      <c r="X30" s="97">
        <v>0.132831</v>
      </c>
      <c r="Y30" s="97">
        <v>0.1349535</v>
      </c>
    </row>
    <row r="31" spans="1:25" x14ac:dyDescent="0.3">
      <c r="A31" s="150"/>
      <c r="B31" s="2" t="s">
        <v>61</v>
      </c>
      <c r="C31" s="67">
        <v>3.0275159999999998E-5</v>
      </c>
      <c r="D31" s="67">
        <v>3.0053660000000001E-5</v>
      </c>
      <c r="E31" s="67">
        <v>2.9865900000000001E-5</v>
      </c>
      <c r="F31" s="67">
        <v>2.97028E-5</v>
      </c>
      <c r="G31" s="67">
        <v>2.9554330000000001E-5</v>
      </c>
      <c r="H31" s="67">
        <v>2.9424259999999999E-5</v>
      </c>
      <c r="I31" s="67">
        <v>2.9196909999999999E-5</v>
      </c>
      <c r="J31" s="67">
        <v>2.9010489999999999E-5</v>
      </c>
      <c r="K31" s="67">
        <v>2.8885760000000001E-5</v>
      </c>
      <c r="L31" s="67">
        <v>2.8955129999999999E-5</v>
      </c>
      <c r="M31" s="67">
        <v>2.970349E-5</v>
      </c>
      <c r="N31" s="67">
        <v>3.070725E-5</v>
      </c>
      <c r="O31" s="67">
        <v>3.1690650000000001E-5</v>
      </c>
      <c r="P31" s="67">
        <v>3.2628040000000003E-5</v>
      </c>
      <c r="Q31" s="67">
        <v>3.3510780000000003E-5</v>
      </c>
      <c r="R31" s="67">
        <v>3.4351160000000001E-5</v>
      </c>
      <c r="S31" s="67">
        <v>3.5150659999999999E-5</v>
      </c>
      <c r="T31" s="67">
        <v>3.5918060000000001E-5</v>
      </c>
      <c r="U31" s="67">
        <v>3.6663309999999999E-5</v>
      </c>
      <c r="V31" s="93">
        <v>3.711965E-5</v>
      </c>
      <c r="W31" s="67">
        <v>3.8154610000000003E-5</v>
      </c>
      <c r="X31" s="67">
        <v>3.8988179999999999E-5</v>
      </c>
      <c r="Y31" s="67">
        <v>4.0034170000000002E-5</v>
      </c>
    </row>
    <row r="32" spans="1:25" x14ac:dyDescent="0.3">
      <c r="A32" s="150"/>
      <c r="B32" s="2" t="s">
        <v>55</v>
      </c>
      <c r="C32" s="67">
        <v>6.0105259999999995E-7</v>
      </c>
      <c r="D32" s="67">
        <v>5.9693849999999996E-7</v>
      </c>
      <c r="E32" s="67">
        <v>5.9344619999999999E-7</v>
      </c>
      <c r="F32" s="67">
        <v>5.9043259999999998E-7</v>
      </c>
      <c r="G32" s="67">
        <v>5.8767179999999999E-7</v>
      </c>
      <c r="H32" s="67">
        <v>5.8528100000000004E-7</v>
      </c>
      <c r="I32" s="67">
        <v>5.8112399999999996E-7</v>
      </c>
      <c r="J32" s="67">
        <v>5.7777109999999998E-7</v>
      </c>
      <c r="K32" s="67">
        <v>5.7581990000000004E-7</v>
      </c>
      <c r="L32" s="67">
        <v>5.7878549999999999E-7</v>
      </c>
      <c r="M32" s="67">
        <v>5.9956019999999999E-7</v>
      </c>
      <c r="N32" s="67">
        <v>6.2733050000000001E-7</v>
      </c>
      <c r="O32" s="67">
        <v>6.5483309999999996E-7</v>
      </c>
      <c r="P32" s="67">
        <v>6.8135960000000004E-7</v>
      </c>
      <c r="Q32" s="67">
        <v>7.0659889999999997E-7</v>
      </c>
      <c r="R32" s="67">
        <v>7.3087539999999998E-7</v>
      </c>
      <c r="S32" s="67">
        <v>7.5419379999999997E-7</v>
      </c>
      <c r="T32" s="67">
        <v>7.7677269999999999E-7</v>
      </c>
      <c r="U32" s="67">
        <v>7.9888889999999996E-7</v>
      </c>
      <c r="V32" s="93">
        <v>8.125027E-7</v>
      </c>
      <c r="W32" s="67">
        <v>8.4367290000000002E-7</v>
      </c>
      <c r="X32" s="67">
        <v>8.6897030000000001E-7</v>
      </c>
      <c r="Y32" s="67">
        <v>9.0102840000000003E-7</v>
      </c>
    </row>
    <row r="33" spans="1:25" x14ac:dyDescent="0.3">
      <c r="A33" s="150" t="s">
        <v>27</v>
      </c>
      <c r="B33" s="12" t="s">
        <v>35</v>
      </c>
      <c r="R33" s="97"/>
    </row>
    <row r="34" spans="1:25" x14ac:dyDescent="0.3">
      <c r="A34" s="150"/>
      <c r="B34" s="2" t="s">
        <v>11</v>
      </c>
      <c r="C34" s="97">
        <v>0.76537219999999995</v>
      </c>
      <c r="D34" s="97">
        <v>0.76531179999999999</v>
      </c>
      <c r="E34" s="97">
        <v>0.76526609999999995</v>
      </c>
      <c r="F34" s="97">
        <v>0.76521890000000004</v>
      </c>
      <c r="G34" s="97">
        <v>0.76518200000000003</v>
      </c>
      <c r="H34" s="97">
        <v>0.76513149999999996</v>
      </c>
      <c r="I34" s="97">
        <v>0.76502809999999999</v>
      </c>
      <c r="J34" s="97">
        <v>0.76490400000000003</v>
      </c>
      <c r="K34" s="97">
        <v>0.76465819999999995</v>
      </c>
      <c r="L34" s="97">
        <v>0.76379490000000005</v>
      </c>
      <c r="M34" s="97">
        <v>0.76057240000000004</v>
      </c>
      <c r="N34" s="97">
        <v>0.75653219999999999</v>
      </c>
      <c r="O34" s="97">
        <v>0.75265850000000001</v>
      </c>
      <c r="P34" s="97">
        <v>0.74902360000000001</v>
      </c>
      <c r="Q34" s="97">
        <v>0.74564949999999997</v>
      </c>
      <c r="R34" s="97">
        <v>0.74247700000000005</v>
      </c>
      <c r="S34" s="97">
        <v>0.7394925</v>
      </c>
      <c r="T34" s="97">
        <v>0.73665860000000005</v>
      </c>
      <c r="U34" s="97">
        <v>0.73393350000000002</v>
      </c>
      <c r="V34" s="24">
        <v>0.73228210000000005</v>
      </c>
      <c r="W34" s="97">
        <v>0.72856149999999997</v>
      </c>
      <c r="X34" s="97">
        <v>0.72561390000000003</v>
      </c>
      <c r="Y34" s="97">
        <v>0.72196009999999999</v>
      </c>
    </row>
    <row r="35" spans="1:25" x14ac:dyDescent="0.3">
      <c r="A35" s="150"/>
      <c r="B35" s="2" t="s">
        <v>12</v>
      </c>
      <c r="C35" s="97">
        <v>2.2901929999999998E-3</v>
      </c>
      <c r="D35" s="97">
        <v>2.20842E-3</v>
      </c>
      <c r="E35" s="97">
        <v>2.1306369999999999E-3</v>
      </c>
      <c r="F35" s="97">
        <v>2.0597319999999999E-3</v>
      </c>
      <c r="G35" s="97">
        <v>1.997614E-3</v>
      </c>
      <c r="H35" s="97">
        <v>1.9428690000000001E-3</v>
      </c>
      <c r="I35" s="97">
        <v>1.8539310000000001E-3</v>
      </c>
      <c r="J35" s="97">
        <v>1.785806E-3</v>
      </c>
      <c r="K35" s="97">
        <v>1.733009E-3</v>
      </c>
      <c r="L35" s="97">
        <v>1.69046E-3</v>
      </c>
      <c r="M35" s="97">
        <v>1.6514279999999999E-3</v>
      </c>
      <c r="N35" s="97">
        <v>1.617863E-3</v>
      </c>
      <c r="O35" s="97">
        <v>1.58998E-3</v>
      </c>
      <c r="P35" s="97">
        <v>1.5670230000000001E-3</v>
      </c>
      <c r="Q35" s="97">
        <v>1.5478880000000001E-3</v>
      </c>
      <c r="R35" s="97">
        <v>1.531997E-3</v>
      </c>
      <c r="S35" s="97">
        <v>1.5187969999999999E-3</v>
      </c>
      <c r="T35" s="97">
        <v>1.5078859999999999E-3</v>
      </c>
      <c r="U35" s="97">
        <v>1.4988899999999999E-3</v>
      </c>
      <c r="V35" s="24">
        <v>1.494258E-3</v>
      </c>
      <c r="W35" s="97">
        <v>1.485847E-3</v>
      </c>
      <c r="X35" s="97">
        <v>1.4819970000000001E-3</v>
      </c>
      <c r="Y35" s="97">
        <v>1.4818920000000001E-3</v>
      </c>
    </row>
    <row r="36" spans="1:25" x14ac:dyDescent="0.3">
      <c r="A36" s="150"/>
      <c r="B36" s="2" t="s">
        <v>13</v>
      </c>
      <c r="C36" s="97">
        <v>2.9311670000000003E-4</v>
      </c>
      <c r="D36" s="97">
        <v>2.9315189999999999E-4</v>
      </c>
      <c r="E36" s="97">
        <v>2.9355400000000002E-4</v>
      </c>
      <c r="F36" s="97">
        <v>2.943299E-4</v>
      </c>
      <c r="G36" s="97">
        <v>2.956069E-4</v>
      </c>
      <c r="H36" s="97">
        <v>2.9721609999999997E-4</v>
      </c>
      <c r="I36" s="97">
        <v>3.0140190000000001E-4</v>
      </c>
      <c r="J36" s="97">
        <v>3.0643100000000002E-4</v>
      </c>
      <c r="K36" s="97">
        <v>3.1199249999999998E-4</v>
      </c>
      <c r="L36" s="97">
        <v>3.1765930000000002E-4</v>
      </c>
      <c r="M36" s="97">
        <v>3.2250729999999997E-4</v>
      </c>
      <c r="N36" s="97">
        <v>3.271223E-4</v>
      </c>
      <c r="O36" s="97">
        <v>3.3179260000000001E-4</v>
      </c>
      <c r="P36" s="97">
        <v>3.3656840000000001E-4</v>
      </c>
      <c r="Q36" s="97">
        <v>3.4137080000000002E-4</v>
      </c>
      <c r="R36" s="97">
        <v>3.462367E-4</v>
      </c>
      <c r="S36" s="97">
        <v>3.5116360000000003E-4</v>
      </c>
      <c r="T36" s="97">
        <v>3.5618109999999999E-4</v>
      </c>
      <c r="U36" s="97">
        <v>3.6132960000000001E-4</v>
      </c>
      <c r="V36" s="24">
        <v>3.646101E-4</v>
      </c>
      <c r="W36" s="97">
        <v>3.725585E-4</v>
      </c>
      <c r="X36" s="97">
        <v>3.7938309999999999E-4</v>
      </c>
      <c r="Y36" s="97">
        <v>3.8881620000000001E-4</v>
      </c>
    </row>
    <row r="37" spans="1:25" x14ac:dyDescent="0.3">
      <c r="A37" s="150"/>
      <c r="B37" s="2" t="s">
        <v>14</v>
      </c>
      <c r="C37" s="67">
        <v>4.4869659999999999E-5</v>
      </c>
      <c r="D37" s="67">
        <v>4.4872759999999999E-5</v>
      </c>
      <c r="E37" s="67">
        <v>4.4923760000000002E-5</v>
      </c>
      <c r="F37" s="67">
        <v>4.5024090000000001E-5</v>
      </c>
      <c r="G37" s="67">
        <v>4.5194220000000003E-5</v>
      </c>
      <c r="H37" s="67">
        <v>4.5409430000000001E-5</v>
      </c>
      <c r="I37" s="67">
        <v>4.5974760000000003E-5</v>
      </c>
      <c r="J37" s="67">
        <v>4.6656609999999997E-5</v>
      </c>
      <c r="K37" s="67">
        <v>4.7411899999999999E-5</v>
      </c>
      <c r="L37" s="67">
        <v>4.8178530000000002E-5</v>
      </c>
      <c r="M37" s="67">
        <v>4.8818440000000003E-5</v>
      </c>
      <c r="N37" s="67">
        <v>4.9422539999999999E-5</v>
      </c>
      <c r="O37" s="67">
        <v>5.0035179999999997E-5</v>
      </c>
      <c r="P37" s="67">
        <v>5.0664249999999999E-5</v>
      </c>
      <c r="Q37" s="67">
        <v>5.1298209999999997E-5</v>
      </c>
      <c r="R37" s="67">
        <v>5.1942550000000003E-5</v>
      </c>
      <c r="S37" s="67">
        <v>5.2596590000000003E-5</v>
      </c>
      <c r="T37" s="67">
        <v>5.3264370000000002E-5</v>
      </c>
      <c r="U37" s="67">
        <v>5.3951189999999999E-5</v>
      </c>
      <c r="V37" s="93">
        <v>5.4389779999999997E-5</v>
      </c>
      <c r="W37" s="67">
        <v>5.5454939999999999E-5</v>
      </c>
      <c r="X37" s="67">
        <v>5.637401E-5</v>
      </c>
      <c r="Y37" s="67">
        <v>5.7653630000000002E-5</v>
      </c>
    </row>
    <row r="38" spans="1:25" x14ac:dyDescent="0.3">
      <c r="A38" s="150"/>
      <c r="B38" s="2" t="s">
        <v>15</v>
      </c>
      <c r="C38" s="97">
        <v>0.2319898</v>
      </c>
      <c r="D38" s="97">
        <v>0.2321319</v>
      </c>
      <c r="E38" s="97">
        <v>0.23225509999999999</v>
      </c>
      <c r="F38" s="97">
        <v>0.23237240000000001</v>
      </c>
      <c r="G38" s="97">
        <v>0.23246990000000001</v>
      </c>
      <c r="H38" s="97">
        <v>0.23257340000000001</v>
      </c>
      <c r="I38" s="97">
        <v>0.2327611</v>
      </c>
      <c r="J38" s="97">
        <v>0.23294770000000001</v>
      </c>
      <c r="K38" s="97">
        <v>0.23324</v>
      </c>
      <c r="L38" s="97">
        <v>0.2341394</v>
      </c>
      <c r="M38" s="97">
        <v>0.2373953</v>
      </c>
      <c r="N38" s="97">
        <v>0.24146329999999999</v>
      </c>
      <c r="O38" s="97">
        <v>0.24535940000000001</v>
      </c>
      <c r="P38" s="97">
        <v>0.24901180000000001</v>
      </c>
      <c r="Q38" s="97">
        <v>0.25239929999999999</v>
      </c>
      <c r="R38" s="97">
        <v>0.25558180000000003</v>
      </c>
      <c r="S38" s="97">
        <v>0.25857370000000002</v>
      </c>
      <c r="T38" s="97">
        <v>0.26141249999999999</v>
      </c>
      <c r="U38" s="97">
        <v>0.2641406</v>
      </c>
      <c r="V38" s="24">
        <v>0.265793</v>
      </c>
      <c r="W38" s="97">
        <v>0.26951259999999999</v>
      </c>
      <c r="X38" s="97">
        <v>0.27245589999999997</v>
      </c>
      <c r="Y38" s="97">
        <v>0.27609889999999998</v>
      </c>
    </row>
    <row r="39" spans="1:25" x14ac:dyDescent="0.3">
      <c r="A39" s="150"/>
      <c r="B39" s="2" t="s">
        <v>61</v>
      </c>
      <c r="C39" s="67">
        <v>9.6596960000000008E-6</v>
      </c>
      <c r="D39" s="67">
        <v>9.5876729999999992E-6</v>
      </c>
      <c r="E39" s="67">
        <v>9.5265799999999999E-6</v>
      </c>
      <c r="F39" s="67">
        <v>9.4734350000000005E-6</v>
      </c>
      <c r="G39" s="67">
        <v>9.4251349999999997E-6</v>
      </c>
      <c r="H39" s="67">
        <v>9.3827120000000003E-6</v>
      </c>
      <c r="I39" s="67">
        <v>9.3085650000000002E-6</v>
      </c>
      <c r="J39" s="67">
        <v>9.2475960000000001E-6</v>
      </c>
      <c r="K39" s="67">
        <v>9.2057129999999995E-6</v>
      </c>
      <c r="L39" s="67">
        <v>9.2219090000000002E-6</v>
      </c>
      <c r="M39" s="67">
        <v>9.4389420000000003E-6</v>
      </c>
      <c r="N39" s="67">
        <v>9.7304689999999996E-6</v>
      </c>
      <c r="O39" s="67">
        <v>1.0014990000000001E-5</v>
      </c>
      <c r="P39" s="67">
        <v>1.028509E-5</v>
      </c>
      <c r="Q39" s="67">
        <v>1.053846E-5</v>
      </c>
      <c r="R39" s="67">
        <v>1.0778779999999999E-5</v>
      </c>
      <c r="S39" s="67">
        <v>1.100661E-5</v>
      </c>
      <c r="T39" s="67">
        <v>1.1224570000000001E-5</v>
      </c>
      <c r="U39" s="67">
        <v>1.1435570000000001E-5</v>
      </c>
      <c r="V39" s="93">
        <v>1.1564479999999999E-5</v>
      </c>
      <c r="W39" s="67">
        <v>1.1855870000000001E-5</v>
      </c>
      <c r="X39" s="67">
        <v>1.208979E-5</v>
      </c>
      <c r="Y39" s="67">
        <v>1.238228E-5</v>
      </c>
    </row>
    <row r="40" spans="1:25" x14ac:dyDescent="0.3">
      <c r="A40" s="150"/>
      <c r="B40" s="2" t="s">
        <v>55</v>
      </c>
      <c r="C40" s="67">
        <v>2.1735970000000001E-7</v>
      </c>
      <c r="D40" s="67">
        <v>2.1584149999999999E-7</v>
      </c>
      <c r="E40" s="67">
        <v>2.1455179999999999E-7</v>
      </c>
      <c r="F40" s="67">
        <v>2.134371E-7</v>
      </c>
      <c r="G40" s="67">
        <v>2.1241780000000001E-7</v>
      </c>
      <c r="H40" s="67">
        <v>2.1153229999999999E-7</v>
      </c>
      <c r="I40" s="67">
        <v>2.0999269999999999E-7</v>
      </c>
      <c r="J40" s="67">
        <v>2.087464E-7</v>
      </c>
      <c r="K40" s="67">
        <v>2.0799349999999999E-7</v>
      </c>
      <c r="L40" s="67">
        <v>2.089308E-7</v>
      </c>
      <c r="M40" s="67">
        <v>2.159425E-7</v>
      </c>
      <c r="N40" s="67">
        <v>2.2530909999999999E-7</v>
      </c>
      <c r="O40" s="67">
        <v>2.3455220000000001E-7</v>
      </c>
      <c r="P40" s="67">
        <v>2.4343499999999998E-7</v>
      </c>
      <c r="Q40" s="67">
        <v>2.5185760000000001E-7</v>
      </c>
      <c r="R40" s="67">
        <v>2.5993280000000002E-7</v>
      </c>
      <c r="S40" s="67">
        <v>2.6766559999999999E-7</v>
      </c>
      <c r="T40" s="67">
        <v>2.7513159999999998E-7</v>
      </c>
      <c r="U40" s="67">
        <v>2.8242429999999999E-7</v>
      </c>
      <c r="V40" s="93">
        <v>2.8690400000000001E-7</v>
      </c>
      <c r="W40" s="67">
        <v>2.9713239999999999E-7</v>
      </c>
      <c r="X40" s="67">
        <v>3.0540789999999999E-7</v>
      </c>
      <c r="Y40" s="67">
        <v>3.158623E-7</v>
      </c>
    </row>
  </sheetData>
  <mergeCells count="2">
    <mergeCell ref="A25:A32"/>
    <mergeCell ref="A33:A40"/>
  </mergeCells>
  <pageMargins left="0.7" right="0.7" top="0.75" bottom="0.75" header="0.3" footer="0.3"/>
  <pageSetup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0"/>
  <sheetViews>
    <sheetView topLeftCell="C8" zoomScale="80" zoomScaleNormal="80" workbookViewId="0">
      <selection activeCell="R34" sqref="R34:R40"/>
    </sheetView>
  </sheetViews>
  <sheetFormatPr defaultRowHeight="15.6" x14ac:dyDescent="0.3"/>
  <cols>
    <col min="1" max="1" width="47.59765625" customWidth="1"/>
    <col min="2" max="2" width="24.59765625" customWidth="1"/>
    <col min="3" max="3" width="10.5" customWidth="1"/>
    <col min="4" max="17" width="10.3984375" bestFit="1" customWidth="1"/>
    <col min="18" max="18" width="10.3984375" style="24" bestFit="1" customWidth="1"/>
    <col min="19" max="20" width="11.3984375" bestFit="1" customWidth="1"/>
  </cols>
  <sheetData>
    <row r="1" spans="1:20" x14ac:dyDescent="0.3">
      <c r="A1" s="61" t="s">
        <v>83</v>
      </c>
      <c r="B1" s="62" t="s">
        <v>8</v>
      </c>
      <c r="C1" s="64" t="s">
        <v>68</v>
      </c>
    </row>
    <row r="2" spans="1:20" x14ac:dyDescent="0.3">
      <c r="A2" s="3" t="s">
        <v>17</v>
      </c>
      <c r="B2" s="2" t="s">
        <v>1</v>
      </c>
      <c r="C2" s="96">
        <v>40</v>
      </c>
      <c r="D2" s="96">
        <v>40</v>
      </c>
      <c r="E2" s="96">
        <v>40</v>
      </c>
      <c r="F2" s="96">
        <v>40</v>
      </c>
      <c r="G2" s="96">
        <v>40</v>
      </c>
      <c r="H2" s="96">
        <v>40</v>
      </c>
      <c r="I2" s="96">
        <v>40</v>
      </c>
      <c r="J2" s="96">
        <v>40</v>
      </c>
      <c r="K2" s="96">
        <v>40</v>
      </c>
      <c r="L2" s="96">
        <v>40</v>
      </c>
      <c r="M2" s="96">
        <v>40</v>
      </c>
      <c r="N2" s="96">
        <v>40</v>
      </c>
      <c r="O2" s="96">
        <v>40</v>
      </c>
      <c r="P2" s="96">
        <v>40</v>
      </c>
      <c r="Q2" s="96">
        <v>40</v>
      </c>
      <c r="R2" s="85">
        <v>40</v>
      </c>
      <c r="S2" s="96">
        <v>40</v>
      </c>
      <c r="T2" s="96">
        <v>40</v>
      </c>
    </row>
    <row r="3" spans="1:20" x14ac:dyDescent="0.3">
      <c r="A3" s="3" t="s">
        <v>16</v>
      </c>
      <c r="B3" s="2" t="s">
        <v>2</v>
      </c>
      <c r="C3" s="96">
        <v>1.0129999999999999</v>
      </c>
      <c r="D3" s="96">
        <v>1.0129999999999999</v>
      </c>
      <c r="E3" s="96">
        <v>1.0129999999999999</v>
      </c>
      <c r="F3" s="96">
        <v>1.0129999999999999</v>
      </c>
      <c r="G3" s="96">
        <v>1.0129999999999999</v>
      </c>
      <c r="H3" s="96">
        <v>1.0129999999999999</v>
      </c>
      <c r="I3" s="96">
        <v>1.0129999999999999</v>
      </c>
      <c r="J3" s="96">
        <v>1.0129999999999999</v>
      </c>
      <c r="K3" s="96">
        <v>1.0129999999999999</v>
      </c>
      <c r="L3" s="96">
        <v>1.0129999999999999</v>
      </c>
      <c r="M3" s="96">
        <v>1.0129999999999999</v>
      </c>
      <c r="N3" s="96">
        <v>1.0129999999999999</v>
      </c>
      <c r="O3" s="96">
        <v>1.0129999999999999</v>
      </c>
      <c r="P3" s="96">
        <v>1.0129999999999999</v>
      </c>
      <c r="Q3" s="96">
        <v>1.0129999999999999</v>
      </c>
      <c r="R3" s="85">
        <v>1.0129999999999999</v>
      </c>
      <c r="S3" s="96">
        <v>1.0129999999999999</v>
      </c>
      <c r="T3" s="96">
        <v>1.0129999999999999</v>
      </c>
    </row>
    <row r="4" spans="1:20" x14ac:dyDescent="0.3">
      <c r="A4" s="3" t="s">
        <v>3</v>
      </c>
      <c r="B4" s="2" t="s">
        <v>1</v>
      </c>
      <c r="C4" s="96">
        <v>40</v>
      </c>
      <c r="D4" s="96">
        <v>40</v>
      </c>
      <c r="E4" s="96">
        <v>40</v>
      </c>
      <c r="F4" s="96">
        <v>40</v>
      </c>
      <c r="G4" s="96">
        <v>40</v>
      </c>
      <c r="H4" s="96">
        <v>40</v>
      </c>
      <c r="I4" s="96">
        <v>40</v>
      </c>
      <c r="J4" s="96">
        <v>40</v>
      </c>
      <c r="K4" s="96">
        <v>40</v>
      </c>
      <c r="L4" s="96">
        <v>40</v>
      </c>
      <c r="M4" s="96">
        <v>40</v>
      </c>
      <c r="N4" s="96">
        <v>40</v>
      </c>
      <c r="O4" s="96">
        <v>40</v>
      </c>
      <c r="P4" s="96">
        <v>40</v>
      </c>
      <c r="Q4" s="96">
        <v>40</v>
      </c>
      <c r="R4" s="85">
        <v>40</v>
      </c>
      <c r="S4" s="96">
        <v>40</v>
      </c>
      <c r="T4" s="96">
        <v>40</v>
      </c>
    </row>
    <row r="5" spans="1:20" x14ac:dyDescent="0.3">
      <c r="A5" s="3" t="s">
        <v>18</v>
      </c>
      <c r="B5" s="2" t="s">
        <v>2</v>
      </c>
      <c r="C5" s="96">
        <v>1.0129999999999999</v>
      </c>
      <c r="D5" s="96">
        <v>1.0129999999999999</v>
      </c>
      <c r="E5" s="96">
        <v>1.0129999999999999</v>
      </c>
      <c r="F5" s="96">
        <v>1.0129999999999999</v>
      </c>
      <c r="G5" s="96">
        <v>1.0129999999999999</v>
      </c>
      <c r="H5" s="96">
        <v>1.0129999999999999</v>
      </c>
      <c r="I5" s="96">
        <v>1.0129999999999999</v>
      </c>
      <c r="J5" s="96">
        <v>1.0129999999999999</v>
      </c>
      <c r="K5" s="96">
        <v>1.0129999999999999</v>
      </c>
      <c r="L5" s="96">
        <v>1.0129999999999999</v>
      </c>
      <c r="M5" s="96">
        <v>1.0129999999999999</v>
      </c>
      <c r="N5" s="96">
        <v>1.0129999999999999</v>
      </c>
      <c r="O5" s="96">
        <v>1.0129999999999999</v>
      </c>
      <c r="P5" s="96">
        <v>1.0129999999999999</v>
      </c>
      <c r="Q5" s="96">
        <v>1.0129999999999999</v>
      </c>
      <c r="R5" s="85">
        <v>1.0129999999999999</v>
      </c>
      <c r="S5" s="96">
        <v>1.0129999999999999</v>
      </c>
      <c r="T5" s="96">
        <v>1.0129999999999999</v>
      </c>
    </row>
    <row r="6" spans="1:20" x14ac:dyDescent="0.3">
      <c r="A6" s="3" t="s">
        <v>4</v>
      </c>
      <c r="B6" s="2" t="s">
        <v>5</v>
      </c>
      <c r="C6" s="77">
        <f>'MEA 30%'!$C$6</f>
        <v>5050.3680000000004</v>
      </c>
      <c r="D6" s="77">
        <f>'MEA 30%'!$C$6</f>
        <v>5050.3680000000004</v>
      </c>
      <c r="E6" s="77">
        <f>'MEA 30%'!$C$6</f>
        <v>5050.3680000000004</v>
      </c>
      <c r="F6" s="77">
        <f>'MEA 30%'!$C$6</f>
        <v>5050.3680000000004</v>
      </c>
      <c r="G6" s="77">
        <f>'MEA 30%'!$C$6</f>
        <v>5050.3680000000004</v>
      </c>
      <c r="H6" s="77">
        <f>'MEA 30%'!$C$6</f>
        <v>5050.3680000000004</v>
      </c>
      <c r="I6" s="77">
        <f>'MEA 30%'!$C$6</f>
        <v>5050.3680000000004</v>
      </c>
      <c r="J6" s="77">
        <f>'MEA 30%'!$C$6</f>
        <v>5050.3680000000004</v>
      </c>
      <c r="K6" s="77">
        <f>'MEA 30%'!$C$6</f>
        <v>5050.3680000000004</v>
      </c>
      <c r="L6" s="77">
        <f>'MEA 30%'!$C$6</f>
        <v>5050.3680000000004</v>
      </c>
      <c r="M6" s="77">
        <f>'MEA 30%'!$C$6</f>
        <v>5050.3680000000004</v>
      </c>
      <c r="N6" s="77">
        <f>'MEA 30%'!$C$6</f>
        <v>5050.3680000000004</v>
      </c>
      <c r="O6" s="77">
        <f>'MEA 30%'!$C$6</f>
        <v>5050.3680000000004</v>
      </c>
      <c r="P6" s="77">
        <f>'MEA 30%'!$C$6</f>
        <v>5050.3680000000004</v>
      </c>
      <c r="Q6" s="77">
        <f>'MEA 30%'!$C$6</f>
        <v>5050.3680000000004</v>
      </c>
      <c r="R6" s="86">
        <f>'MEA 30%'!$C$6</f>
        <v>5050.3680000000004</v>
      </c>
      <c r="S6" s="77">
        <f>'MEA 30%'!$C$6</f>
        <v>5050.3680000000004</v>
      </c>
      <c r="T6" s="77">
        <f>'MEA 30%'!$C$6</f>
        <v>5050.3680000000004</v>
      </c>
    </row>
    <row r="7" spans="1:20" x14ac:dyDescent="0.3">
      <c r="A7" s="6" t="s">
        <v>6</v>
      </c>
      <c r="B7" s="22" t="s">
        <v>5</v>
      </c>
      <c r="C7" s="31">
        <f t="shared" ref="C7:T7" si="0">C6*C8</f>
        <v>2525.1840000000002</v>
      </c>
      <c r="D7" s="31">
        <f t="shared" si="0"/>
        <v>3030.2208000000001</v>
      </c>
      <c r="E7" s="31">
        <f t="shared" si="0"/>
        <v>3535.2575999999999</v>
      </c>
      <c r="F7" s="31">
        <f t="shared" si="0"/>
        <v>4040.2944000000007</v>
      </c>
      <c r="G7" s="31">
        <f t="shared" si="0"/>
        <v>4545.3312000000005</v>
      </c>
      <c r="H7" s="31">
        <f t="shared" si="0"/>
        <v>5050.3680000000004</v>
      </c>
      <c r="I7" s="31">
        <f t="shared" si="0"/>
        <v>6060.4416000000001</v>
      </c>
      <c r="J7" s="31">
        <f t="shared" si="0"/>
        <v>7070.5151999999998</v>
      </c>
      <c r="K7" s="31">
        <f t="shared" si="0"/>
        <v>8080.5888000000014</v>
      </c>
      <c r="L7" s="31">
        <f t="shared" si="0"/>
        <v>9090.6624000000011</v>
      </c>
      <c r="M7" s="31">
        <f t="shared" si="0"/>
        <v>10100.736000000001</v>
      </c>
      <c r="N7" s="31">
        <f t="shared" si="0"/>
        <v>11110.809600000002</v>
      </c>
      <c r="O7" s="31">
        <f t="shared" si="0"/>
        <v>12120.8832</v>
      </c>
      <c r="P7" s="31">
        <f t="shared" si="0"/>
        <v>13130.956800000002</v>
      </c>
      <c r="Q7" s="31">
        <f t="shared" si="0"/>
        <v>14141.0304</v>
      </c>
      <c r="R7" s="32">
        <f t="shared" si="0"/>
        <v>14470.819430400001</v>
      </c>
      <c r="S7" s="31">
        <f t="shared" si="0"/>
        <v>16161.177600000003</v>
      </c>
      <c r="T7" s="31">
        <f t="shared" si="0"/>
        <v>17171.251200000002</v>
      </c>
    </row>
    <row r="8" spans="1:20" x14ac:dyDescent="0.3">
      <c r="A8" s="3" t="s">
        <v>7</v>
      </c>
      <c r="B8" s="2" t="s">
        <v>29</v>
      </c>
      <c r="C8" s="78">
        <v>0.5</v>
      </c>
      <c r="D8" s="60">
        <v>0.6</v>
      </c>
      <c r="E8" s="78">
        <v>0.7</v>
      </c>
      <c r="F8" s="60">
        <v>0.8</v>
      </c>
      <c r="G8" s="78">
        <v>0.9</v>
      </c>
      <c r="H8" s="60">
        <v>1</v>
      </c>
      <c r="I8" s="89">
        <v>1.2</v>
      </c>
      <c r="J8" s="106">
        <v>1.4</v>
      </c>
      <c r="K8" s="89">
        <v>1.6</v>
      </c>
      <c r="L8" s="106">
        <v>1.8</v>
      </c>
      <c r="M8" s="89">
        <v>2</v>
      </c>
      <c r="N8" s="106">
        <v>2.2000000000000002</v>
      </c>
      <c r="O8" s="89">
        <v>2.4</v>
      </c>
      <c r="P8" s="106">
        <v>2.6</v>
      </c>
      <c r="Q8" s="89">
        <v>2.8</v>
      </c>
      <c r="R8" s="107">
        <v>2.8653</v>
      </c>
      <c r="S8" s="89">
        <v>3.2</v>
      </c>
      <c r="T8" s="106">
        <v>3.4</v>
      </c>
    </row>
    <row r="9" spans="1:20" ht="18" x14ac:dyDescent="0.4">
      <c r="A9" s="3" t="s">
        <v>32</v>
      </c>
      <c r="B9" s="2" t="s">
        <v>5</v>
      </c>
      <c r="C9" s="97">
        <v>802.09379999999999</v>
      </c>
      <c r="D9" s="97">
        <v>802.09379999999999</v>
      </c>
      <c r="E9" s="97">
        <v>802.09379999999999</v>
      </c>
      <c r="F9" s="97">
        <v>802.09379999999999</v>
      </c>
      <c r="G9" s="97">
        <v>802.09379999999999</v>
      </c>
      <c r="H9" s="97">
        <v>802.09379999999999</v>
      </c>
      <c r="I9" s="97">
        <v>802.09379999999999</v>
      </c>
      <c r="J9" s="97">
        <v>802.09379999999999</v>
      </c>
      <c r="K9" s="97">
        <v>802.09379999999999</v>
      </c>
      <c r="L9" s="97">
        <v>802.09379999999999</v>
      </c>
      <c r="M9" s="97">
        <v>802.09379999999999</v>
      </c>
      <c r="N9" s="97">
        <v>802.09379999999999</v>
      </c>
      <c r="O9" s="97">
        <v>802.09379999999999</v>
      </c>
      <c r="P9" s="97">
        <v>802.09379999999999</v>
      </c>
      <c r="Q9" s="97">
        <v>802.09379999999999</v>
      </c>
      <c r="R9" s="24">
        <v>802.09379999999999</v>
      </c>
      <c r="S9" s="97">
        <v>802.09379999999999</v>
      </c>
      <c r="T9" s="97">
        <v>802.09379999999999</v>
      </c>
    </row>
    <row r="10" spans="1:20" ht="18" x14ac:dyDescent="0.4">
      <c r="A10" s="3" t="s">
        <v>33</v>
      </c>
      <c r="B10" s="2" t="s">
        <v>5</v>
      </c>
      <c r="C10" s="97">
        <v>631.37339999999995</v>
      </c>
      <c r="D10" s="97">
        <v>599.85239999999999</v>
      </c>
      <c r="E10" s="97">
        <v>569.48609999999996</v>
      </c>
      <c r="F10" s="97">
        <v>540.21839999999997</v>
      </c>
      <c r="G10" s="97">
        <v>511.952</v>
      </c>
      <c r="H10" s="97">
        <v>484.58440000000002</v>
      </c>
      <c r="I10" s="97">
        <v>432.27780000000001</v>
      </c>
      <c r="J10" s="97">
        <v>382.798</v>
      </c>
      <c r="K10" s="97">
        <v>335.7022</v>
      </c>
      <c r="L10" s="97">
        <v>290.697</v>
      </c>
      <c r="M10" s="97">
        <v>247.53880000000001</v>
      </c>
      <c r="N10" s="97">
        <v>206.08510000000001</v>
      </c>
      <c r="O10" s="97">
        <v>166.2388</v>
      </c>
      <c r="P10" s="97">
        <v>128.01169999999999</v>
      </c>
      <c r="Q10" s="97">
        <v>91.598159999999993</v>
      </c>
      <c r="R10" s="24">
        <v>80.149799999999999</v>
      </c>
      <c r="S10" s="97">
        <v>26.937149999999999</v>
      </c>
      <c r="T10" s="97">
        <v>4.8442920000000003</v>
      </c>
    </row>
    <row r="11" spans="1:20" x14ac:dyDescent="0.3">
      <c r="A11" s="3" t="s">
        <v>49</v>
      </c>
      <c r="B11" s="2" t="s">
        <v>5</v>
      </c>
      <c r="C11" s="97">
        <v>170.72049999999999</v>
      </c>
      <c r="D11" s="97">
        <v>202.2414</v>
      </c>
      <c r="E11" s="97">
        <v>232.60769999999999</v>
      </c>
      <c r="F11" s="97">
        <v>261.87470000000002</v>
      </c>
      <c r="G11" s="97">
        <v>290.1431</v>
      </c>
      <c r="H11" s="97">
        <v>317.50940000000003</v>
      </c>
      <c r="I11" s="97">
        <v>369.81610000000001</v>
      </c>
      <c r="J11" s="97">
        <v>419.29579999999999</v>
      </c>
      <c r="K11" s="97">
        <v>466.39159999999998</v>
      </c>
      <c r="L11" s="97">
        <v>511.39699999999999</v>
      </c>
      <c r="M11" s="97">
        <v>554.55499999999995</v>
      </c>
      <c r="N11" s="97">
        <v>596.00890000000004</v>
      </c>
      <c r="O11" s="97">
        <v>635.85519999999997</v>
      </c>
      <c r="P11" s="97">
        <v>674.08219999999994</v>
      </c>
      <c r="Q11" s="97">
        <v>710.49570000000006</v>
      </c>
      <c r="R11" s="24">
        <v>721.94399999999996</v>
      </c>
      <c r="S11" s="97">
        <v>775.15689999999995</v>
      </c>
      <c r="T11" s="97">
        <v>797.24950000000001</v>
      </c>
    </row>
    <row r="12" spans="1:20" s="105" customFormat="1" ht="18" x14ac:dyDescent="0.4">
      <c r="A12" s="102" t="s">
        <v>19</v>
      </c>
      <c r="B12" s="5" t="s">
        <v>8</v>
      </c>
      <c r="C12" s="103">
        <f>(C9-C10)/C9*100</f>
        <v>21.284343551838955</v>
      </c>
      <c r="D12" s="103">
        <f t="shared" ref="D12:T12" si="1">(D9-D10)/D9*100</f>
        <v>25.214183179074567</v>
      </c>
      <c r="E12" s="103">
        <f t="shared" si="1"/>
        <v>29.000062087501487</v>
      </c>
      <c r="F12" s="103">
        <f t="shared" si="1"/>
        <v>32.648974471564301</v>
      </c>
      <c r="G12" s="103">
        <f t="shared" si="1"/>
        <v>36.173051082055494</v>
      </c>
      <c r="H12" s="103">
        <f t="shared" si="1"/>
        <v>39.585070972995922</v>
      </c>
      <c r="I12" s="103">
        <f t="shared" si="1"/>
        <v>46.10632821248587</v>
      </c>
      <c r="J12" s="103">
        <f t="shared" si="1"/>
        <v>52.275157843135055</v>
      </c>
      <c r="K12" s="103">
        <f t="shared" si="1"/>
        <v>58.146765378313603</v>
      </c>
      <c r="L12" s="103">
        <f t="shared" si="1"/>
        <v>63.757730080945642</v>
      </c>
      <c r="M12" s="103">
        <f t="shared" si="1"/>
        <v>69.138422463806592</v>
      </c>
      <c r="N12" s="103">
        <f t="shared" si="1"/>
        <v>74.306608528827923</v>
      </c>
      <c r="O12" s="103">
        <f t="shared" si="1"/>
        <v>79.27439409206255</v>
      </c>
      <c r="P12" s="103">
        <f t="shared" si="1"/>
        <v>84.040308003876845</v>
      </c>
      <c r="Q12" s="103">
        <f t="shared" si="1"/>
        <v>88.580118684373318</v>
      </c>
      <c r="R12" s="104">
        <f t="shared" si="1"/>
        <v>90.007428058912808</v>
      </c>
      <c r="S12" s="103">
        <f t="shared" si="1"/>
        <v>96.641645902262312</v>
      </c>
      <c r="T12" s="103">
        <f t="shared" si="1"/>
        <v>99.39604420330889</v>
      </c>
    </row>
    <row r="13" spans="1:20" x14ac:dyDescent="0.3">
      <c r="A13" s="3" t="s">
        <v>20</v>
      </c>
      <c r="B13" s="2" t="s">
        <v>1</v>
      </c>
      <c r="C13" s="97">
        <v>38.415309999999998</v>
      </c>
      <c r="D13" s="97">
        <v>40.655169999999998</v>
      </c>
      <c r="E13" s="97">
        <v>42.504469999999998</v>
      </c>
      <c r="F13" s="97">
        <v>44.053440000000002</v>
      </c>
      <c r="G13" s="97">
        <v>45.365900000000003</v>
      </c>
      <c r="H13" s="97">
        <v>46.488570000000003</v>
      </c>
      <c r="I13" s="97">
        <v>48.299210000000002</v>
      </c>
      <c r="J13" s="97">
        <v>49.672939999999997</v>
      </c>
      <c r="K13" s="97">
        <v>50.724139999999998</v>
      </c>
      <c r="L13" s="97">
        <v>51.52458</v>
      </c>
      <c r="M13" s="97">
        <v>52.121810000000004</v>
      </c>
      <c r="N13" s="97">
        <v>52.543019999999999</v>
      </c>
      <c r="O13" s="97">
        <v>52.807200000000002</v>
      </c>
      <c r="P13" s="97">
        <v>52.913400000000003</v>
      </c>
      <c r="Q13" s="97">
        <v>52.845959999999998</v>
      </c>
      <c r="R13" s="24">
        <v>52.778680000000001</v>
      </c>
      <c r="S13" s="97">
        <v>51.881030000000003</v>
      </c>
      <c r="T13" s="97">
        <v>50.282649999999997</v>
      </c>
    </row>
    <row r="14" spans="1:20" ht="18" x14ac:dyDescent="0.4">
      <c r="A14" s="3" t="s">
        <v>21</v>
      </c>
      <c r="B14" s="2" t="s">
        <v>1</v>
      </c>
      <c r="C14" s="97">
        <v>18.480450000000001</v>
      </c>
      <c r="D14" s="97">
        <v>19.811900000000001</v>
      </c>
      <c r="E14" s="97">
        <v>21.208829999999999</v>
      </c>
      <c r="F14" s="97">
        <v>22.603210000000001</v>
      </c>
      <c r="G14" s="97">
        <v>23.964089999999999</v>
      </c>
      <c r="H14" s="97">
        <v>25.275089999999999</v>
      </c>
      <c r="I14" s="97">
        <v>27.713609999999999</v>
      </c>
      <c r="J14" s="97">
        <v>29.913250000000001</v>
      </c>
      <c r="K14" s="97">
        <v>31.898520000000001</v>
      </c>
      <c r="L14" s="97">
        <v>33.696890000000003</v>
      </c>
      <c r="M14" s="97">
        <v>35.336260000000003</v>
      </c>
      <c r="N14" s="97">
        <v>36.844880000000003</v>
      </c>
      <c r="O14" s="97">
        <v>38.241970000000002</v>
      </c>
      <c r="P14" s="97">
        <v>39.559280000000001</v>
      </c>
      <c r="Q14" s="97">
        <v>40.82244</v>
      </c>
      <c r="R14" s="24">
        <v>41.230359999999997</v>
      </c>
      <c r="S14" s="97">
        <v>43.411990000000003</v>
      </c>
      <c r="T14" s="97">
        <v>45.095039999999997</v>
      </c>
    </row>
    <row r="15" spans="1:20" x14ac:dyDescent="0.3">
      <c r="A15" s="3" t="s">
        <v>84</v>
      </c>
      <c r="B15" s="2" t="s">
        <v>5</v>
      </c>
      <c r="C15">
        <f>0.00986202+0.0005473075</f>
        <v>1.0409327500000001E-2</v>
      </c>
      <c r="D15">
        <f>0.0126974+0.0007663206</f>
        <v>1.34637206E-2</v>
      </c>
      <c r="E15">
        <f>0.01557965+0.01557965</f>
        <v>3.1159300000000001E-2</v>
      </c>
      <c r="F15">
        <f>0.01844024+0.001272409</f>
        <v>1.9712648999999999E-2</v>
      </c>
      <c r="G15">
        <f>0.02123218+0.001547109</f>
        <v>2.2779289000000001E-2</v>
      </c>
      <c r="H15">
        <f>0.02392808+0.001830086</f>
        <v>2.5758166000000002E-2</v>
      </c>
      <c r="I15">
        <f>0.0289566+0.002406375</f>
        <v>3.1362975000000001E-2</v>
      </c>
      <c r="J15">
        <f>0.03343208+0.002978444</f>
        <v>3.6410524E-2</v>
      </c>
      <c r="K15">
        <f>0.03732434+0.003532163</f>
        <v>4.0856502999999995E-2</v>
      </c>
      <c r="L15">
        <f>0.04062742+0.004058721</f>
        <v>4.4686140999999999E-2</v>
      </c>
      <c r="M15">
        <f>0.04335392+0.004554226</f>
        <v>4.7908145999999999E-2</v>
      </c>
      <c r="N15">
        <f>0.04550272+0.005015942</f>
        <v>5.0518662000000006E-2</v>
      </c>
      <c r="O15">
        <f>0.0470857+0.005446696</f>
        <v>5.2532396000000002E-2</v>
      </c>
      <c r="P15">
        <f>0.04806682+0.005847153</f>
        <v>5.3913973000000004E-2</v>
      </c>
      <c r="Q15">
        <f>0.04837638+0.006221174</f>
        <v>5.4597554E-2</v>
      </c>
      <c r="R15" s="24">
        <f>0.04830469+0.006337938</f>
        <v>5.4642627999999999E-2</v>
      </c>
      <c r="S15">
        <f>0.04593904+0.006890263</f>
        <v>5.2829303000000001E-2</v>
      </c>
      <c r="T15">
        <f>0.04093561+0.00700913</f>
        <v>4.794474E-2</v>
      </c>
    </row>
    <row r="16" spans="1:20" ht="18" x14ac:dyDescent="0.4">
      <c r="A16" s="3" t="s">
        <v>22</v>
      </c>
      <c r="B16" s="2" t="s">
        <v>85</v>
      </c>
      <c r="C16">
        <f>3879.13/(2119.001+4803.602)</f>
        <v>0.56035713733692372</v>
      </c>
      <c r="D16">
        <f>4595.352/(2542.793+5764.321)</f>
        <v>0.55318272988669714</v>
      </c>
      <c r="E16">
        <f>5285.338/(2966.585+6725.039)</f>
        <v>0.54535111968850625</v>
      </c>
      <c r="F16">
        <f>5950.362/(3390.378+7685.758)</f>
        <v>0.53722363105689563</v>
      </c>
      <c r="G16">
        <f>6592.663/(3814.171+8646.478)</f>
        <v>0.52907862182780363</v>
      </c>
      <c r="H16">
        <f>7214.483/(4237.965+9607.196)</f>
        <v>0.52108335901619351</v>
      </c>
      <c r="I16">
        <f>8403.002/(5085.555+11528.63)</f>
        <v>0.50577274780556503</v>
      </c>
      <c r="J16">
        <f>9527.284/(5933.15+13450.07)</f>
        <v>0.4915222548162792</v>
      </c>
      <c r="K16">
        <f>10597.4/(6780.751+15371.51)</f>
        <v>0.47838909084720516</v>
      </c>
      <c r="L16">
        <f>11620.02/(7628.357+17292.95)</f>
        <v>0.46626848262813825</v>
      </c>
      <c r="M16">
        <f>12600.66/(8475.966+19214.39)</f>
        <v>0.45505590466225859</v>
      </c>
      <c r="N16">
        <f>13542.58/(9323.579+21135.82)</f>
        <v>0.44461087364199148</v>
      </c>
      <c r="O16">
        <f>14447.97/(10171.2+23057.26)</f>
        <v>0.43480709006676804</v>
      </c>
      <c r="P16">
        <f>15316.57/(11018.82+24978.7)</f>
        <v>0.42548958928281722</v>
      </c>
      <c r="Q16">
        <f>16143.96/(11866.46+26900.14)</f>
        <v>0.41643992509015493</v>
      </c>
      <c r="R16" s="24">
        <f>16404.09/(12143.21+27527.49)</f>
        <v>0.4135064417819701</v>
      </c>
      <c r="S16">
        <f>17613.2/(13561.74+30743.03)</f>
        <v>0.39754635900378227</v>
      </c>
      <c r="T16">
        <f>18115.19/(14409.41+32664.46)</f>
        <v>0.38482474459822402</v>
      </c>
    </row>
    <row r="17" spans="1:20" ht="18" x14ac:dyDescent="0.4">
      <c r="A17" s="3" t="s">
        <v>23</v>
      </c>
      <c r="B17" s="2" t="s">
        <v>1</v>
      </c>
      <c r="C17">
        <v>65</v>
      </c>
      <c r="D17" s="97">
        <v>65</v>
      </c>
      <c r="E17" s="97">
        <v>65</v>
      </c>
      <c r="F17" s="97">
        <v>65</v>
      </c>
      <c r="G17" s="97">
        <v>65</v>
      </c>
      <c r="H17" s="97">
        <v>65</v>
      </c>
      <c r="I17" s="97">
        <v>65</v>
      </c>
      <c r="J17" s="97">
        <v>65</v>
      </c>
      <c r="K17" s="97">
        <v>65</v>
      </c>
      <c r="L17" s="97">
        <v>65</v>
      </c>
      <c r="M17" s="97">
        <v>65</v>
      </c>
      <c r="N17" s="97">
        <v>65</v>
      </c>
      <c r="O17" s="97">
        <v>65</v>
      </c>
      <c r="P17" s="97">
        <v>65</v>
      </c>
      <c r="Q17" s="97">
        <v>65</v>
      </c>
      <c r="R17" s="24">
        <v>65</v>
      </c>
      <c r="S17" s="97">
        <v>65</v>
      </c>
      <c r="T17" s="97">
        <v>65</v>
      </c>
    </row>
    <row r="18" spans="1:20" ht="18" x14ac:dyDescent="0.4">
      <c r="A18" s="3" t="s">
        <v>24</v>
      </c>
      <c r="B18" s="2" t="s">
        <v>85</v>
      </c>
      <c r="C18">
        <v>0.21</v>
      </c>
      <c r="D18" s="97">
        <v>0.21</v>
      </c>
      <c r="E18" s="97">
        <v>0.21</v>
      </c>
      <c r="F18" s="97">
        <v>0.21</v>
      </c>
      <c r="G18" s="97">
        <v>0.21</v>
      </c>
      <c r="H18" s="97">
        <v>0.21</v>
      </c>
      <c r="I18" s="97">
        <v>0.21</v>
      </c>
      <c r="J18" s="97">
        <v>0.21</v>
      </c>
      <c r="K18" s="97">
        <v>0.21</v>
      </c>
      <c r="L18" s="97">
        <v>0.21</v>
      </c>
      <c r="M18" s="97">
        <v>0.21</v>
      </c>
      <c r="N18" s="97">
        <v>0.21</v>
      </c>
      <c r="O18" s="97">
        <v>0.21</v>
      </c>
      <c r="P18" s="97">
        <v>0.21</v>
      </c>
      <c r="Q18" s="97">
        <v>0.21</v>
      </c>
      <c r="R18" s="24">
        <v>0.21</v>
      </c>
      <c r="S18" s="97">
        <v>0.21</v>
      </c>
      <c r="T18" s="97">
        <v>0.21</v>
      </c>
    </row>
    <row r="19" spans="1:20" x14ac:dyDescent="0.3">
      <c r="A19" s="3" t="s">
        <v>25</v>
      </c>
      <c r="B19" s="2" t="s">
        <v>10</v>
      </c>
      <c r="C19" s="60">
        <v>701.45699999999999</v>
      </c>
      <c r="D19" s="60">
        <v>844.93899999999996</v>
      </c>
      <c r="E19" s="60">
        <v>989.12699999999995</v>
      </c>
      <c r="F19" s="60">
        <v>1133.79</v>
      </c>
      <c r="G19" s="60">
        <v>1279.01</v>
      </c>
      <c r="H19" s="60">
        <v>1424.64</v>
      </c>
      <c r="I19" s="60">
        <v>1717.23</v>
      </c>
      <c r="J19" s="60">
        <v>2011.24</v>
      </c>
      <c r="K19" s="60">
        <v>2306.0300000000002</v>
      </c>
      <c r="L19" s="60">
        <v>2599.1999999999998</v>
      </c>
      <c r="M19" s="60">
        <v>2881.44</v>
      </c>
      <c r="N19" s="60">
        <v>3157.52</v>
      </c>
      <c r="O19" s="60">
        <v>3431.19</v>
      </c>
      <c r="P19" s="60">
        <v>3703.01</v>
      </c>
      <c r="Q19" s="60">
        <v>3972.63</v>
      </c>
      <c r="R19" s="24">
        <v>4060.26</v>
      </c>
      <c r="S19" s="60">
        <v>4503.1099999999997</v>
      </c>
      <c r="T19" s="60">
        <v>4757.1099999999997</v>
      </c>
    </row>
    <row r="20" spans="1:20" ht="18" x14ac:dyDescent="0.4">
      <c r="A20" s="3" t="s">
        <v>26</v>
      </c>
      <c r="B20" s="2" t="s">
        <v>1</v>
      </c>
      <c r="C20" s="97">
        <v>120.81</v>
      </c>
      <c r="D20" s="97">
        <v>120.7968</v>
      </c>
      <c r="E20" s="97">
        <v>120.78530000000001</v>
      </c>
      <c r="F20" s="97">
        <v>120.77549999999999</v>
      </c>
      <c r="G20" s="97">
        <v>120.7663</v>
      </c>
      <c r="H20" s="97">
        <v>120.75790000000001</v>
      </c>
      <c r="I20" s="97">
        <v>120.7435</v>
      </c>
      <c r="J20" s="97">
        <v>120.7307</v>
      </c>
      <c r="K20" s="97">
        <v>120.7192</v>
      </c>
      <c r="L20" s="97">
        <v>120.7094</v>
      </c>
      <c r="M20" s="97">
        <v>120.70050000000001</v>
      </c>
      <c r="N20" s="97">
        <v>120.6925</v>
      </c>
      <c r="O20" s="97">
        <v>120.68519999999999</v>
      </c>
      <c r="P20" s="97">
        <v>120.6784</v>
      </c>
      <c r="Q20" s="97">
        <v>120.67189999999999</v>
      </c>
      <c r="R20" s="24">
        <v>120.67010000000001</v>
      </c>
      <c r="S20" s="97">
        <v>120.6587</v>
      </c>
      <c r="T20" s="97">
        <v>120.65049999999999</v>
      </c>
    </row>
    <row r="21" spans="1:20" x14ac:dyDescent="0.3">
      <c r="A21" s="3" t="s">
        <v>86</v>
      </c>
      <c r="B21" s="2" t="s">
        <v>5</v>
      </c>
      <c r="C21">
        <f>0.002566819+0.0002100827</f>
        <v>2.7769017000000003E-3</v>
      </c>
      <c r="D21">
        <f>0.003014936+0.0002468172</f>
        <v>3.2617532000000001E-3</v>
      </c>
      <c r="E21">
        <f>0.00344068+0.0002817256</f>
        <v>3.7224056E-3</v>
      </c>
      <c r="F21">
        <f>0.003845443+0.0003149285</f>
        <v>4.1603715000000001E-3</v>
      </c>
      <c r="G21">
        <f>0.004231615+0.0003466156</f>
        <v>4.5782306000000002E-3</v>
      </c>
      <c r="H21">
        <f>0.004601255+0.000376971</f>
        <v>4.9782260000000005E-3</v>
      </c>
      <c r="I21">
        <f>0.005295922+0.0004340379</f>
        <v>5.7299598999999996E-3</v>
      </c>
      <c r="J21">
        <f>0.00594079+0.0004870821</f>
        <v>6.4278720999999999E-3</v>
      </c>
      <c r="K21">
        <f>0.006552853+0.0005376649</f>
        <v>7.0905179E-3</v>
      </c>
      <c r="L21">
        <f>0.007179321+0.0005906435</f>
        <v>7.7699644999999996E-3</v>
      </c>
      <c r="M21">
        <f>0.007991039+0.0006641023</f>
        <v>8.6551413000000004E-3</v>
      </c>
      <c r="N21">
        <f>0.008894723+0.0007485468</f>
        <v>9.6432697999999997E-3</v>
      </c>
      <c r="O21">
        <f>0.009821692+0.0008367773</f>
        <v>1.0658469300000001E-2</v>
      </c>
      <c r="P21">
        <f>0.01076252+0.0009278613</f>
        <v>1.16903813E-2</v>
      </c>
      <c r="Q21">
        <f>0.01171542+0.001021813</f>
        <v>1.2737233000000001E-2</v>
      </c>
      <c r="R21" s="24">
        <f>0.0120301+0.001053255</f>
        <v>1.3083355E-2</v>
      </c>
      <c r="S21">
        <f>0.01366974+0.001221777</f>
        <v>1.4891517E-2</v>
      </c>
      <c r="T21">
        <f>0.01471229+0.001337055</f>
        <v>1.6049345E-2</v>
      </c>
    </row>
    <row r="22" spans="1:20" x14ac:dyDescent="0.3">
      <c r="A22" s="3" t="s">
        <v>87</v>
      </c>
      <c r="B22" s="2" t="s">
        <v>5</v>
      </c>
      <c r="C22" s="97">
        <f>C21+C15</f>
        <v>1.3186229200000002E-2</v>
      </c>
      <c r="D22" s="97">
        <f t="shared" ref="D22:T22" si="2">D21+D15</f>
        <v>1.6725473800000001E-2</v>
      </c>
      <c r="E22" s="97">
        <f t="shared" si="2"/>
        <v>3.48817056E-2</v>
      </c>
      <c r="F22" s="97">
        <f t="shared" si="2"/>
        <v>2.3873020499999998E-2</v>
      </c>
      <c r="G22" s="97">
        <f t="shared" si="2"/>
        <v>2.7357519600000001E-2</v>
      </c>
      <c r="H22" s="97">
        <f t="shared" si="2"/>
        <v>3.0736392000000001E-2</v>
      </c>
      <c r="I22" s="97">
        <f t="shared" si="2"/>
        <v>3.7092934899999999E-2</v>
      </c>
      <c r="J22" s="97">
        <f t="shared" si="2"/>
        <v>4.2838396100000002E-2</v>
      </c>
      <c r="K22" s="97">
        <f t="shared" si="2"/>
        <v>4.7947020899999998E-2</v>
      </c>
      <c r="L22" s="97">
        <f t="shared" si="2"/>
        <v>5.2456105499999996E-2</v>
      </c>
      <c r="M22" s="97">
        <f t="shared" si="2"/>
        <v>5.6563287300000001E-2</v>
      </c>
      <c r="N22" s="97">
        <f t="shared" si="2"/>
        <v>6.0161931800000006E-2</v>
      </c>
      <c r="O22" s="97">
        <f t="shared" si="2"/>
        <v>6.319086530000001E-2</v>
      </c>
      <c r="P22" s="97">
        <f t="shared" si="2"/>
        <v>6.5604354300000001E-2</v>
      </c>
      <c r="Q22" s="97">
        <f t="shared" si="2"/>
        <v>6.7334787000000007E-2</v>
      </c>
      <c r="R22" s="24">
        <f t="shared" si="2"/>
        <v>6.7725983000000003E-2</v>
      </c>
      <c r="S22" s="97">
        <f t="shared" si="2"/>
        <v>6.7720820000000001E-2</v>
      </c>
      <c r="T22" s="97">
        <f t="shared" si="2"/>
        <v>6.3994085000000006E-2</v>
      </c>
    </row>
    <row r="23" spans="1:20" x14ac:dyDescent="0.3">
      <c r="A23" s="3" t="s">
        <v>88</v>
      </c>
      <c r="B23" s="2" t="s">
        <v>52</v>
      </c>
      <c r="C23" s="97">
        <f>C22/C11*1000</f>
        <v>7.723869834026964E-2</v>
      </c>
      <c r="D23" s="97">
        <f t="shared" ref="D23:T23" si="3">D22/D11*1000</f>
        <v>8.2700544003354415E-2</v>
      </c>
      <c r="E23" s="97">
        <f t="shared" si="3"/>
        <v>0.14995937623733008</v>
      </c>
      <c r="F23" s="97">
        <f t="shared" si="3"/>
        <v>9.1161996557895808E-2</v>
      </c>
      <c r="G23" s="97">
        <f t="shared" si="3"/>
        <v>9.4289747369487684E-2</v>
      </c>
      <c r="H23" s="97">
        <f t="shared" si="3"/>
        <v>9.6804667830306751E-2</v>
      </c>
      <c r="I23" s="97">
        <f t="shared" si="3"/>
        <v>0.10030102772702432</v>
      </c>
      <c r="J23" s="97">
        <f t="shared" si="3"/>
        <v>0.10216748200196615</v>
      </c>
      <c r="K23" s="97">
        <f t="shared" si="3"/>
        <v>0.10280421195407465</v>
      </c>
      <c r="L23" s="97">
        <f t="shared" si="3"/>
        <v>0.10257413614080646</v>
      </c>
      <c r="M23" s="97">
        <f t="shared" si="3"/>
        <v>0.10199761484433466</v>
      </c>
      <c r="N23" s="97">
        <f t="shared" si="3"/>
        <v>0.10094133124522134</v>
      </c>
      <c r="O23" s="97">
        <f t="shared" si="3"/>
        <v>9.9379332432918716E-2</v>
      </c>
      <c r="P23" s="97">
        <f t="shared" si="3"/>
        <v>9.7323967759421634E-2</v>
      </c>
      <c r="Q23" s="97">
        <f t="shared" si="3"/>
        <v>9.4771561601287663E-2</v>
      </c>
      <c r="R23" s="24">
        <f t="shared" si="3"/>
        <v>9.3810576720632075E-2</v>
      </c>
      <c r="S23" s="97">
        <f t="shared" si="3"/>
        <v>8.7364016239809009E-2</v>
      </c>
      <c r="T23" s="97">
        <f t="shared" si="3"/>
        <v>8.026857966044508E-2</v>
      </c>
    </row>
    <row r="24" spans="1:20" x14ac:dyDescent="0.3">
      <c r="A24" s="3" t="s">
        <v>34</v>
      </c>
      <c r="B24" s="2" t="s">
        <v>28</v>
      </c>
      <c r="C24" s="97">
        <f>C19/C11</f>
        <v>4.1088035707486803</v>
      </c>
      <c r="D24" s="97">
        <f t="shared" ref="D24:T24" si="4">D19/D11</f>
        <v>4.1778735708910242</v>
      </c>
      <c r="E24" s="97">
        <f t="shared" si="4"/>
        <v>4.2523398838473536</v>
      </c>
      <c r="F24" s="97">
        <f t="shared" si="4"/>
        <v>4.3295133130462773</v>
      </c>
      <c r="G24" s="97">
        <f t="shared" si="4"/>
        <v>4.4082040896371479</v>
      </c>
      <c r="H24" s="97">
        <f t="shared" si="4"/>
        <v>4.4869222769467614</v>
      </c>
      <c r="I24" s="97">
        <f t="shared" si="4"/>
        <v>4.6434700922972256</v>
      </c>
      <c r="J24" s="97">
        <f t="shared" si="4"/>
        <v>4.7967091490065012</v>
      </c>
      <c r="K24" s="97">
        <f t="shared" si="4"/>
        <v>4.9444072320341972</v>
      </c>
      <c r="L24" s="97">
        <f t="shared" si="4"/>
        <v>5.0825483919538046</v>
      </c>
      <c r="M24" s="97">
        <f t="shared" si="4"/>
        <v>5.1959499057803109</v>
      </c>
      <c r="N24" s="97">
        <f t="shared" si="4"/>
        <v>5.2977732379499702</v>
      </c>
      <c r="O24" s="97">
        <f t="shared" si="4"/>
        <v>5.3961813947578001</v>
      </c>
      <c r="P24" s="97">
        <f t="shared" si="4"/>
        <v>5.4934101508688418</v>
      </c>
      <c r="Q24" s="97">
        <f t="shared" si="4"/>
        <v>5.5913498139397602</v>
      </c>
      <c r="R24" s="24">
        <f t="shared" si="4"/>
        <v>5.6240650244340289</v>
      </c>
      <c r="S24" s="97">
        <f t="shared" si="4"/>
        <v>5.8092884163193279</v>
      </c>
      <c r="T24" s="97">
        <f t="shared" si="4"/>
        <v>5.966902456508282</v>
      </c>
    </row>
    <row r="25" spans="1:20" x14ac:dyDescent="0.3">
      <c r="A25" s="150" t="s">
        <v>27</v>
      </c>
      <c r="B25" s="12" t="s">
        <v>36</v>
      </c>
    </row>
    <row r="26" spans="1:20" x14ac:dyDescent="0.3">
      <c r="A26" s="150"/>
      <c r="B26" s="2" t="s">
        <v>11</v>
      </c>
      <c r="C26" s="97">
        <v>0.88609839999999995</v>
      </c>
      <c r="D26" s="97">
        <v>0.88615279999999996</v>
      </c>
      <c r="E26" s="97">
        <v>0.88622179999999995</v>
      </c>
      <c r="F26" s="97">
        <v>0.88627610000000001</v>
      </c>
      <c r="G26" s="97">
        <v>0.88632710000000003</v>
      </c>
      <c r="H26" s="97">
        <v>0.88636599999999999</v>
      </c>
      <c r="I26" s="97">
        <v>0.88642690000000002</v>
      </c>
      <c r="J26" s="97">
        <v>0.88645359999999995</v>
      </c>
      <c r="K26" s="97">
        <v>0.88639120000000005</v>
      </c>
      <c r="L26" s="97">
        <v>0.8859496</v>
      </c>
      <c r="M26" s="97">
        <v>0.88407279999999999</v>
      </c>
      <c r="N26" s="97">
        <v>0.88167930000000005</v>
      </c>
      <c r="O26" s="97">
        <v>0.87928360000000005</v>
      </c>
      <c r="P26" s="97">
        <v>0.87692309999999996</v>
      </c>
      <c r="Q26" s="97">
        <v>0.8745636</v>
      </c>
      <c r="R26" s="24">
        <v>0.87378100000000003</v>
      </c>
      <c r="S26" s="97">
        <v>0.86944129999999997</v>
      </c>
      <c r="T26" s="97">
        <v>0.86582340000000002</v>
      </c>
    </row>
    <row r="27" spans="1:20" x14ac:dyDescent="0.3">
      <c r="A27" s="150"/>
      <c r="B27" s="2" t="s">
        <v>12</v>
      </c>
      <c r="C27" s="97">
        <v>2.9326360000000002E-3</v>
      </c>
      <c r="D27" s="97">
        <v>2.7997539999999998E-3</v>
      </c>
      <c r="E27" s="97">
        <v>2.6685110000000001E-3</v>
      </c>
      <c r="F27" s="97">
        <v>2.5466400000000002E-3</v>
      </c>
      <c r="G27" s="97">
        <v>2.4359889999999999E-3</v>
      </c>
      <c r="H27" s="97">
        <v>2.336538E-3</v>
      </c>
      <c r="I27" s="97">
        <v>2.16891E-3</v>
      </c>
      <c r="J27" s="97">
        <v>2.0351290000000001E-3</v>
      </c>
      <c r="K27" s="97">
        <v>1.9266419999999999E-3</v>
      </c>
      <c r="L27" s="97">
        <v>1.836835E-3</v>
      </c>
      <c r="M27" s="97">
        <v>1.759037E-3</v>
      </c>
      <c r="N27" s="97">
        <v>1.691826E-3</v>
      </c>
      <c r="O27" s="97">
        <v>1.633942E-3</v>
      </c>
      <c r="P27" s="97">
        <v>1.5829380000000001E-3</v>
      </c>
      <c r="Q27" s="97">
        <v>1.5373330000000001E-3</v>
      </c>
      <c r="R27" s="24">
        <v>1.5232290000000001E-3</v>
      </c>
      <c r="S27" s="97">
        <v>1.4535629999999999E-3</v>
      </c>
      <c r="T27" s="97">
        <v>1.406844E-3</v>
      </c>
    </row>
    <row r="28" spans="1:20" x14ac:dyDescent="0.3">
      <c r="A28" s="150"/>
      <c r="B28" s="2" t="s">
        <v>13</v>
      </c>
      <c r="C28" s="97">
        <v>1.634424E-4</v>
      </c>
      <c r="D28" s="97">
        <v>1.6174479999999999E-4</v>
      </c>
      <c r="E28" s="97">
        <v>1.600456E-4</v>
      </c>
      <c r="F28" s="97">
        <v>1.585247E-4</v>
      </c>
      <c r="G28" s="97">
        <v>1.5721840000000001E-4</v>
      </c>
      <c r="H28" s="97">
        <v>1.5612340000000001E-4</v>
      </c>
      <c r="I28" s="97">
        <v>1.545529E-4</v>
      </c>
      <c r="J28" s="97">
        <v>1.5365729999999999E-4</v>
      </c>
      <c r="K28" s="97">
        <v>1.5324309999999999E-4</v>
      </c>
      <c r="L28" s="97">
        <v>1.5314619999999999E-4</v>
      </c>
      <c r="M28" s="97">
        <v>1.5308699999999999E-4</v>
      </c>
      <c r="N28" s="97">
        <v>1.531595E-4</v>
      </c>
      <c r="O28" s="97">
        <v>1.534172E-4</v>
      </c>
      <c r="P28" s="97">
        <v>1.538272E-4</v>
      </c>
      <c r="Q28" s="97">
        <v>1.5439889999999999E-4</v>
      </c>
      <c r="R28" s="24">
        <v>1.5461699999999999E-4</v>
      </c>
      <c r="S28" s="97">
        <v>1.5615959999999999E-4</v>
      </c>
      <c r="T28" s="97">
        <v>1.578665E-4</v>
      </c>
    </row>
    <row r="29" spans="1:20" x14ac:dyDescent="0.3">
      <c r="A29" s="150"/>
      <c r="B29" s="2" t="s">
        <v>14</v>
      </c>
      <c r="C29" s="67">
        <v>2.8578279999999999E-5</v>
      </c>
      <c r="D29" s="67">
        <v>2.8280540000000001E-5</v>
      </c>
      <c r="E29" s="67">
        <v>2.7977369999999999E-5</v>
      </c>
      <c r="F29" s="67">
        <v>2.7700420000000001E-5</v>
      </c>
      <c r="G29" s="67">
        <v>2.7456650000000001E-5</v>
      </c>
      <c r="H29" s="67">
        <v>2.7246189999999999E-5</v>
      </c>
      <c r="I29" s="67">
        <v>2.6925749999999999E-5</v>
      </c>
      <c r="J29" s="67">
        <v>2.6716179999999999E-5</v>
      </c>
      <c r="K29" s="67">
        <v>2.6586650000000001E-5</v>
      </c>
      <c r="L29" s="67">
        <v>2.6510320000000001E-5</v>
      </c>
      <c r="M29" s="67">
        <v>2.6439879999999999E-5</v>
      </c>
      <c r="N29" s="67">
        <v>2.6392010000000001E-5</v>
      </c>
      <c r="O29" s="67">
        <v>2.637634E-5</v>
      </c>
      <c r="P29" s="67">
        <v>2.6386440000000001E-5</v>
      </c>
      <c r="Q29" s="67">
        <v>2.6423209999999999E-5</v>
      </c>
      <c r="R29" s="93">
        <v>2.6440059999999998E-5</v>
      </c>
      <c r="S29" s="67">
        <v>2.6587929999999999E-5</v>
      </c>
      <c r="T29" s="67">
        <v>2.678207E-5</v>
      </c>
    </row>
    <row r="30" spans="1:20" x14ac:dyDescent="0.3">
      <c r="A30" s="150"/>
      <c r="B30" s="2" t="s">
        <v>15</v>
      </c>
      <c r="C30" s="97">
        <v>0.1107607</v>
      </c>
      <c r="D30" s="97">
        <v>0.1108413</v>
      </c>
      <c r="E30" s="97">
        <v>0.1109057</v>
      </c>
      <c r="F30" s="97">
        <v>0.11097509999999999</v>
      </c>
      <c r="G30" s="97">
        <v>0.1110363</v>
      </c>
      <c r="H30" s="97">
        <v>0.11109819999999999</v>
      </c>
      <c r="I30" s="97">
        <v>0.111207</v>
      </c>
      <c r="J30" s="97">
        <v>0.1113152</v>
      </c>
      <c r="K30" s="97">
        <v>0.11148669999999999</v>
      </c>
      <c r="L30" s="97">
        <v>0.1120182</v>
      </c>
      <c r="M30" s="97">
        <v>0.1139727</v>
      </c>
      <c r="N30" s="97">
        <v>0.1164326</v>
      </c>
      <c r="O30" s="97">
        <v>0.11888550000000001</v>
      </c>
      <c r="P30" s="97">
        <v>0.1212958</v>
      </c>
      <c r="Q30" s="97">
        <v>0.1236998</v>
      </c>
      <c r="R30" s="24">
        <v>0.124496</v>
      </c>
      <c r="S30" s="97">
        <v>0.1289025</v>
      </c>
      <c r="T30" s="97">
        <v>0.13256409999999999</v>
      </c>
    </row>
    <row r="31" spans="1:20" x14ac:dyDescent="0.3">
      <c r="A31" s="150"/>
      <c r="B31" s="2" t="s">
        <v>61</v>
      </c>
      <c r="C31" s="67">
        <v>1.504899E-5</v>
      </c>
      <c r="D31" s="67">
        <v>1.49473E-5</v>
      </c>
      <c r="E31" s="67">
        <v>1.4858609999999999E-5</v>
      </c>
      <c r="F31" s="67">
        <v>1.478313E-5</v>
      </c>
      <c r="G31" s="67">
        <v>1.4714420000000001E-5</v>
      </c>
      <c r="H31" s="67">
        <v>1.465246E-5</v>
      </c>
      <c r="I31" s="67">
        <v>1.454221E-5</v>
      </c>
      <c r="J31" s="67">
        <v>1.444936E-5</v>
      </c>
      <c r="K31" s="67">
        <v>1.438705E-5</v>
      </c>
      <c r="L31" s="67">
        <v>1.442636E-5</v>
      </c>
      <c r="M31" s="67">
        <v>1.483487E-5</v>
      </c>
      <c r="N31" s="67">
        <v>1.5381870000000001E-5</v>
      </c>
      <c r="O31" s="67">
        <v>1.593801E-5</v>
      </c>
      <c r="P31" s="67">
        <v>1.6492740000000002E-5</v>
      </c>
      <c r="Q31" s="67">
        <v>1.7053000000000001E-5</v>
      </c>
      <c r="R31" s="93">
        <v>1.724027E-5</v>
      </c>
      <c r="S31" s="67">
        <v>1.828977E-5</v>
      </c>
      <c r="T31" s="67">
        <v>1.9181870000000001E-5</v>
      </c>
    </row>
    <row r="32" spans="1:20" x14ac:dyDescent="0.3">
      <c r="A32" s="150"/>
      <c r="B32" s="2" t="s">
        <v>55</v>
      </c>
      <c r="C32" s="67">
        <v>1.231693E-6</v>
      </c>
      <c r="D32" s="67">
        <v>1.2236579999999999E-6</v>
      </c>
      <c r="E32" s="67">
        <v>1.21661E-6</v>
      </c>
      <c r="F32" s="67">
        <v>1.210687E-6</v>
      </c>
      <c r="G32" s="67">
        <v>1.205272E-6</v>
      </c>
      <c r="H32" s="67">
        <v>1.2004449999999999E-6</v>
      </c>
      <c r="I32" s="67">
        <v>1.1918359999999999E-6</v>
      </c>
      <c r="J32" s="67">
        <v>1.1846949999999999E-6</v>
      </c>
      <c r="K32" s="67">
        <v>1.1804650000000001E-6</v>
      </c>
      <c r="L32" s="67">
        <v>1.1868579999999999E-6</v>
      </c>
      <c r="M32" s="67">
        <v>1.232865E-6</v>
      </c>
      <c r="N32" s="67">
        <v>1.294481E-6</v>
      </c>
      <c r="O32" s="67">
        <v>1.3578689999999999E-6</v>
      </c>
      <c r="P32" s="67">
        <v>1.4218760000000001E-6</v>
      </c>
      <c r="Q32" s="67">
        <v>1.4873539999999999E-6</v>
      </c>
      <c r="R32" s="93">
        <v>1.5094140000000001E-6</v>
      </c>
      <c r="S32" s="67">
        <v>1.634707E-6</v>
      </c>
      <c r="T32" s="67">
        <v>1.743251E-6</v>
      </c>
    </row>
    <row r="33" spans="1:20" x14ac:dyDescent="0.3">
      <c r="A33" s="150" t="s">
        <v>27</v>
      </c>
      <c r="B33" s="12" t="s">
        <v>35</v>
      </c>
    </row>
    <row r="34" spans="1:20" x14ac:dyDescent="0.3">
      <c r="A34" s="150"/>
      <c r="B34" s="2" t="s">
        <v>11</v>
      </c>
      <c r="C34" s="97">
        <v>0.76453720000000003</v>
      </c>
      <c r="D34" s="97">
        <v>0.76448079999999996</v>
      </c>
      <c r="E34" s="97">
        <v>0.76445260000000004</v>
      </c>
      <c r="F34" s="97">
        <v>0.7644088</v>
      </c>
      <c r="G34" s="97">
        <v>0.7643723</v>
      </c>
      <c r="H34" s="97">
        <v>0.76432690000000003</v>
      </c>
      <c r="I34" s="97">
        <v>0.76424199999999998</v>
      </c>
      <c r="J34" s="97">
        <v>0.76413489999999995</v>
      </c>
      <c r="K34" s="97">
        <v>0.76389600000000002</v>
      </c>
      <c r="L34" s="97">
        <v>0.76299269999999997</v>
      </c>
      <c r="M34" s="97">
        <v>0.75951579999999996</v>
      </c>
      <c r="N34" s="97">
        <v>0.75514360000000003</v>
      </c>
      <c r="O34" s="97">
        <v>0.75080380000000002</v>
      </c>
      <c r="P34" s="97">
        <v>0.74656120000000004</v>
      </c>
      <c r="Q34" s="97">
        <v>0.74235110000000004</v>
      </c>
      <c r="R34" s="24">
        <v>0.74096139999999999</v>
      </c>
      <c r="S34" s="97">
        <v>0.73331380000000002</v>
      </c>
      <c r="T34" s="97">
        <v>0.72701329999999997</v>
      </c>
    </row>
    <row r="35" spans="1:20" x14ac:dyDescent="0.3">
      <c r="A35" s="150"/>
      <c r="B35" s="2" t="s">
        <v>12</v>
      </c>
      <c r="C35" s="97">
        <v>1.7382229999999999E-3</v>
      </c>
      <c r="D35" s="97">
        <v>1.659237E-3</v>
      </c>
      <c r="E35" s="97">
        <v>1.5812759999999999E-3</v>
      </c>
      <c r="F35" s="97">
        <v>1.50888E-3</v>
      </c>
      <c r="G35" s="97">
        <v>1.443167E-3</v>
      </c>
      <c r="H35" s="97">
        <v>1.384106E-3</v>
      </c>
      <c r="I35" s="97">
        <v>1.2845770000000001E-3</v>
      </c>
      <c r="J35" s="97">
        <v>1.205137E-3</v>
      </c>
      <c r="K35" s="97">
        <v>1.1406179999999999E-3</v>
      </c>
      <c r="L35" s="97">
        <v>1.086706E-3</v>
      </c>
      <c r="M35" s="97">
        <v>1.0381360000000001E-3</v>
      </c>
      <c r="N35" s="97">
        <v>9.9541709999999999E-4</v>
      </c>
      <c r="O35" s="97">
        <v>9.5843930000000005E-4</v>
      </c>
      <c r="P35" s="97">
        <v>9.2575969999999998E-4</v>
      </c>
      <c r="Q35" s="97">
        <v>8.9643030000000003E-4</v>
      </c>
      <c r="R35" s="24">
        <v>8.8733740000000001E-4</v>
      </c>
      <c r="S35" s="97">
        <v>8.421972E-4</v>
      </c>
      <c r="T35" s="97">
        <v>8.115021E-4</v>
      </c>
    </row>
    <row r="36" spans="1:20" x14ac:dyDescent="0.3">
      <c r="A36" s="150"/>
      <c r="B36" s="2" t="s">
        <v>13</v>
      </c>
      <c r="C36" s="97">
        <v>2.215428E-4</v>
      </c>
      <c r="D36" s="97">
        <v>2.1921209999999999E-4</v>
      </c>
      <c r="E36" s="97">
        <v>2.168843E-4</v>
      </c>
      <c r="F36" s="97">
        <v>2.147978E-4</v>
      </c>
      <c r="G36" s="97">
        <v>2.130054E-4</v>
      </c>
      <c r="H36" s="97">
        <v>2.1149999999999999E-4</v>
      </c>
      <c r="I36" s="97">
        <v>2.0933470000000001E-4</v>
      </c>
      <c r="J36" s="97">
        <v>2.0808630000000001E-4</v>
      </c>
      <c r="K36" s="97">
        <v>2.0747509999999999E-4</v>
      </c>
      <c r="L36" s="97">
        <v>2.07202E-4</v>
      </c>
      <c r="M36" s="97">
        <v>2.0661569999999999E-4</v>
      </c>
      <c r="N36" s="97">
        <v>2.060815E-4</v>
      </c>
      <c r="O36" s="97">
        <v>2.0580110000000001E-4</v>
      </c>
      <c r="P36" s="97">
        <v>2.0573750000000001E-4</v>
      </c>
      <c r="Q36" s="97">
        <v>2.0589149999999999E-4</v>
      </c>
      <c r="R36" s="24">
        <v>2.059807E-4</v>
      </c>
      <c r="S36" s="97">
        <v>2.0691620000000001E-4</v>
      </c>
      <c r="T36" s="97">
        <v>2.0824729999999999E-4</v>
      </c>
    </row>
    <row r="37" spans="1:20" x14ac:dyDescent="0.3">
      <c r="A37" s="150"/>
      <c r="B37" s="2" t="s">
        <v>14</v>
      </c>
      <c r="C37" s="67">
        <v>3.391312E-5</v>
      </c>
      <c r="D37" s="67">
        <v>3.3555259999999998E-5</v>
      </c>
      <c r="E37" s="67">
        <v>3.3191739999999999E-5</v>
      </c>
      <c r="F37" s="67">
        <v>3.2859269999999997E-5</v>
      </c>
      <c r="G37" s="67">
        <v>3.2566669999999999E-5</v>
      </c>
      <c r="H37" s="67">
        <v>3.2313710000000003E-5</v>
      </c>
      <c r="I37" s="67">
        <v>3.1927929999999998E-5</v>
      </c>
      <c r="J37" s="67">
        <v>3.1674029999999997E-5</v>
      </c>
      <c r="K37" s="67">
        <v>3.1512830000000003E-5</v>
      </c>
      <c r="L37" s="67">
        <v>3.1400840000000002E-5</v>
      </c>
      <c r="M37" s="67">
        <v>3.124088E-5</v>
      </c>
      <c r="N37" s="67">
        <v>3.1088969999999998E-5</v>
      </c>
      <c r="O37" s="67">
        <v>3.0976109999999997E-5</v>
      </c>
      <c r="P37" s="67">
        <v>3.0895819999999998E-5</v>
      </c>
      <c r="Q37" s="67">
        <v>3.0847399999999999E-5</v>
      </c>
      <c r="R37" s="93">
        <v>3.0836880000000001E-5</v>
      </c>
      <c r="S37" s="67">
        <v>3.0842459999999999E-5</v>
      </c>
      <c r="T37" s="67">
        <v>3.0929439999999998E-5</v>
      </c>
    </row>
    <row r="38" spans="1:20" x14ac:dyDescent="0.3">
      <c r="A38" s="150"/>
      <c r="B38" s="2" t="s">
        <v>15</v>
      </c>
      <c r="C38" s="97">
        <v>0.2334638</v>
      </c>
      <c r="D38" s="97">
        <v>0.23360210000000001</v>
      </c>
      <c r="E38" s="97">
        <v>0.2337109</v>
      </c>
      <c r="F38" s="97">
        <v>0.2338295</v>
      </c>
      <c r="G38" s="97">
        <v>0.2339338</v>
      </c>
      <c r="H38" s="97">
        <v>0.2340401</v>
      </c>
      <c r="I38" s="97">
        <v>0.23422709999999999</v>
      </c>
      <c r="J38" s="97">
        <v>0.23441509999999999</v>
      </c>
      <c r="K38" s="97">
        <v>0.23471939999999999</v>
      </c>
      <c r="L38" s="97">
        <v>0.23567689999999999</v>
      </c>
      <c r="M38" s="97">
        <v>0.2392031</v>
      </c>
      <c r="N38" s="97">
        <v>0.24361859999999999</v>
      </c>
      <c r="O38" s="97">
        <v>0.2479953</v>
      </c>
      <c r="P38" s="97">
        <v>0.25227070000000001</v>
      </c>
      <c r="Q38" s="97">
        <v>0.25650980000000001</v>
      </c>
      <c r="R38" s="24">
        <v>0.25790849999999998</v>
      </c>
      <c r="S38" s="97">
        <v>0.2656</v>
      </c>
      <c r="T38" s="97">
        <v>0.27192939999999999</v>
      </c>
    </row>
    <row r="39" spans="1:20" x14ac:dyDescent="0.3">
      <c r="A39" s="150"/>
      <c r="B39" s="2" t="s">
        <v>61</v>
      </c>
      <c r="C39" s="67">
        <v>4.7954610000000001E-6</v>
      </c>
      <c r="D39" s="67">
        <v>4.7624130000000001E-6</v>
      </c>
      <c r="E39" s="67">
        <v>4.7336120000000002E-6</v>
      </c>
      <c r="F39" s="67">
        <v>4.7090059999999999E-6</v>
      </c>
      <c r="G39" s="67">
        <v>4.6866269999999998E-6</v>
      </c>
      <c r="H39" s="67">
        <v>4.666411E-6</v>
      </c>
      <c r="I39" s="67">
        <v>4.6304650000000001E-6</v>
      </c>
      <c r="J39" s="67">
        <v>4.6001170000000001E-6</v>
      </c>
      <c r="K39" s="67">
        <v>4.579171E-6</v>
      </c>
      <c r="L39" s="67">
        <v>4.5885390000000002E-6</v>
      </c>
      <c r="M39" s="67">
        <v>4.7069419999999997E-6</v>
      </c>
      <c r="N39" s="67">
        <v>4.8655770000000001E-6</v>
      </c>
      <c r="O39" s="67">
        <v>5.0261780000000001E-6</v>
      </c>
      <c r="P39" s="67">
        <v>5.185646E-6</v>
      </c>
      <c r="Q39" s="67">
        <v>5.3459510000000003E-6</v>
      </c>
      <c r="R39" s="93">
        <v>5.3993740000000001E-6</v>
      </c>
      <c r="S39" s="67">
        <v>5.6972339999999999E-6</v>
      </c>
      <c r="T39" s="67">
        <v>5.9485370000000003E-6</v>
      </c>
    </row>
    <row r="40" spans="1:20" x14ac:dyDescent="0.3">
      <c r="A40" s="150"/>
      <c r="B40" s="2" t="s">
        <v>55</v>
      </c>
      <c r="C40" s="67">
        <v>4.4485140000000001E-7</v>
      </c>
      <c r="D40" s="67">
        <v>4.4188970000000002E-7</v>
      </c>
      <c r="E40" s="67">
        <v>4.3929410000000001E-7</v>
      </c>
      <c r="F40" s="67">
        <v>4.3710350000000001E-7</v>
      </c>
      <c r="G40" s="67">
        <v>4.3510270000000003E-7</v>
      </c>
      <c r="H40" s="67">
        <v>4.3331540000000001E-7</v>
      </c>
      <c r="I40" s="67">
        <v>4.3013050000000001E-7</v>
      </c>
      <c r="J40" s="67">
        <v>4.2748049999999997E-7</v>
      </c>
      <c r="K40" s="67">
        <v>4.2585099999999999E-7</v>
      </c>
      <c r="L40" s="67">
        <v>4.2786410000000002E-7</v>
      </c>
      <c r="M40" s="67">
        <v>4.433637E-7</v>
      </c>
      <c r="N40" s="67">
        <v>4.6409859999999998E-7</v>
      </c>
      <c r="O40" s="67">
        <v>4.8534559999999996E-7</v>
      </c>
      <c r="P40" s="67">
        <v>5.0671229999999999E-7</v>
      </c>
      <c r="Q40" s="67">
        <v>5.2847929999999998E-7</v>
      </c>
      <c r="R40" s="93">
        <v>5.3579320000000002E-7</v>
      </c>
      <c r="S40" s="67">
        <v>5.7714539999999999E-7</v>
      </c>
      <c r="T40" s="67">
        <v>6.1272929999999996E-7</v>
      </c>
    </row>
  </sheetData>
  <mergeCells count="2">
    <mergeCell ref="A25:A32"/>
    <mergeCell ref="A33:A40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2"/>
  <sheetViews>
    <sheetView topLeftCell="B10" zoomScale="80" zoomScaleNormal="80" workbookViewId="0">
      <selection activeCell="V34" sqref="V34"/>
    </sheetView>
  </sheetViews>
  <sheetFormatPr defaultRowHeight="15.6" x14ac:dyDescent="0.3"/>
  <cols>
    <col min="1" max="1" width="54.5" customWidth="1"/>
    <col min="2" max="2" width="22.09765625" customWidth="1"/>
    <col min="3" max="3" width="17.5" customWidth="1"/>
    <col min="18" max="18" width="8.796875" style="24"/>
  </cols>
  <sheetData>
    <row r="1" spans="1:20" x14ac:dyDescent="0.3">
      <c r="A1" s="61" t="s">
        <v>112</v>
      </c>
      <c r="B1" s="62" t="s">
        <v>8</v>
      </c>
      <c r="C1" s="64" t="s">
        <v>110</v>
      </c>
    </row>
    <row r="2" spans="1:20" x14ac:dyDescent="0.3">
      <c r="A2" s="3" t="s">
        <v>17</v>
      </c>
      <c r="B2" s="2" t="s">
        <v>1</v>
      </c>
      <c r="C2" s="98">
        <v>40</v>
      </c>
      <c r="D2" s="98">
        <v>40</v>
      </c>
      <c r="E2" s="98">
        <v>40</v>
      </c>
      <c r="F2" s="98">
        <v>40</v>
      </c>
      <c r="G2" s="98">
        <v>40</v>
      </c>
      <c r="H2" s="98">
        <v>40</v>
      </c>
      <c r="I2" s="98">
        <v>40</v>
      </c>
      <c r="J2" s="98">
        <v>40</v>
      </c>
      <c r="K2" s="98">
        <v>40</v>
      </c>
      <c r="L2" s="98">
        <v>40</v>
      </c>
      <c r="M2" s="98">
        <v>40</v>
      </c>
      <c r="N2" s="98">
        <v>40</v>
      </c>
      <c r="O2" s="98">
        <v>40</v>
      </c>
      <c r="P2" s="98">
        <v>40</v>
      </c>
      <c r="Q2" s="98">
        <v>40</v>
      </c>
      <c r="R2" s="85">
        <v>40</v>
      </c>
      <c r="S2" s="98">
        <v>40</v>
      </c>
      <c r="T2" s="98">
        <v>40</v>
      </c>
    </row>
    <row r="3" spans="1:20" x14ac:dyDescent="0.3">
      <c r="A3" s="3" t="s">
        <v>16</v>
      </c>
      <c r="B3" s="2" t="s">
        <v>2</v>
      </c>
      <c r="C3" s="98">
        <v>1.0129999999999999</v>
      </c>
      <c r="D3" s="98">
        <v>1.0129999999999999</v>
      </c>
      <c r="E3" s="98">
        <v>1.0129999999999999</v>
      </c>
      <c r="F3" s="98">
        <v>1.0129999999999999</v>
      </c>
      <c r="G3" s="98">
        <v>1.0129999999999999</v>
      </c>
      <c r="H3" s="98">
        <v>1.0129999999999999</v>
      </c>
      <c r="I3" s="98">
        <v>1.0129999999999999</v>
      </c>
      <c r="J3" s="98">
        <v>1.0129999999999999</v>
      </c>
      <c r="K3" s="98">
        <v>1.0129999999999999</v>
      </c>
      <c r="L3" s="98">
        <v>1.0129999999999999</v>
      </c>
      <c r="M3" s="98">
        <v>1.0129999999999999</v>
      </c>
      <c r="N3" s="98">
        <v>1.0129999999999999</v>
      </c>
      <c r="O3" s="98">
        <v>1.0129999999999999</v>
      </c>
      <c r="P3" s="98">
        <v>1.0129999999999999</v>
      </c>
      <c r="Q3" s="98">
        <v>1.0129999999999999</v>
      </c>
      <c r="R3" s="85">
        <v>1.0129999999999999</v>
      </c>
      <c r="S3" s="98">
        <v>1.0129999999999999</v>
      </c>
      <c r="T3" s="98">
        <v>1.0129999999999999</v>
      </c>
    </row>
    <row r="4" spans="1:20" x14ac:dyDescent="0.3">
      <c r="A4" s="3" t="s">
        <v>3</v>
      </c>
      <c r="B4" s="2" t="s">
        <v>1</v>
      </c>
      <c r="C4" s="98">
        <v>40</v>
      </c>
      <c r="D4" s="98">
        <v>40</v>
      </c>
      <c r="E4" s="98">
        <v>40</v>
      </c>
      <c r="F4" s="98">
        <v>40</v>
      </c>
      <c r="G4" s="98">
        <v>40</v>
      </c>
      <c r="H4" s="98">
        <v>40</v>
      </c>
      <c r="I4" s="98">
        <v>40</v>
      </c>
      <c r="J4" s="98">
        <v>40</v>
      </c>
      <c r="K4" s="98">
        <v>40</v>
      </c>
      <c r="L4" s="98">
        <v>40</v>
      </c>
      <c r="M4" s="98">
        <v>40</v>
      </c>
      <c r="N4" s="98">
        <v>40</v>
      </c>
      <c r="O4" s="98">
        <v>40</v>
      </c>
      <c r="P4" s="98">
        <v>40</v>
      </c>
      <c r="Q4" s="98">
        <v>40</v>
      </c>
      <c r="R4" s="85">
        <v>40</v>
      </c>
      <c r="S4" s="98">
        <v>40</v>
      </c>
      <c r="T4" s="98">
        <v>40</v>
      </c>
    </row>
    <row r="5" spans="1:20" x14ac:dyDescent="0.3">
      <c r="A5" s="3" t="s">
        <v>18</v>
      </c>
      <c r="B5" s="2" t="s">
        <v>2</v>
      </c>
      <c r="C5" s="98">
        <v>1.0129999999999999</v>
      </c>
      <c r="D5" s="98">
        <v>1.0129999999999999</v>
      </c>
      <c r="E5" s="98">
        <v>1.0129999999999999</v>
      </c>
      <c r="F5" s="98">
        <v>1.0129999999999999</v>
      </c>
      <c r="G5" s="98">
        <v>1.0129999999999999</v>
      </c>
      <c r="H5" s="98">
        <v>1.0129999999999999</v>
      </c>
      <c r="I5" s="98">
        <v>1.0129999999999999</v>
      </c>
      <c r="J5" s="98">
        <v>1.0129999999999999</v>
      </c>
      <c r="K5" s="98">
        <v>1.0129999999999999</v>
      </c>
      <c r="L5" s="98">
        <v>1.0129999999999999</v>
      </c>
      <c r="M5" s="98">
        <v>1.0129999999999999</v>
      </c>
      <c r="N5" s="98">
        <v>1.0129999999999999</v>
      </c>
      <c r="O5" s="98">
        <v>1.0129999999999999</v>
      </c>
      <c r="P5" s="98">
        <v>1.0129999999999999</v>
      </c>
      <c r="Q5" s="98">
        <v>1.0129999999999999</v>
      </c>
      <c r="R5" s="85">
        <v>1.0129999999999999</v>
      </c>
      <c r="S5" s="98">
        <v>1.0129999999999999</v>
      </c>
      <c r="T5" s="98">
        <v>1.0129999999999999</v>
      </c>
    </row>
    <row r="6" spans="1:20" x14ac:dyDescent="0.3">
      <c r="A6" s="3" t="s">
        <v>4</v>
      </c>
      <c r="B6" s="2" t="s">
        <v>5</v>
      </c>
      <c r="C6" s="77">
        <f>'MEA 30%'!$C$6</f>
        <v>5050.3680000000004</v>
      </c>
      <c r="D6" s="77">
        <f>'MEA 30%'!$C$6</f>
        <v>5050.3680000000004</v>
      </c>
      <c r="E6" s="77">
        <f>'MEA 30%'!$C$6</f>
        <v>5050.3680000000004</v>
      </c>
      <c r="F6" s="77">
        <f>'MEA 30%'!$C$6</f>
        <v>5050.3680000000004</v>
      </c>
      <c r="G6" s="77">
        <f>'MEA 30%'!$C$6</f>
        <v>5050.3680000000004</v>
      </c>
      <c r="H6" s="77">
        <f>'MEA 30%'!$C$6</f>
        <v>5050.3680000000004</v>
      </c>
      <c r="I6" s="77">
        <f>'MEA 30%'!$C$6</f>
        <v>5050.3680000000004</v>
      </c>
      <c r="J6" s="77">
        <f>'MEA 30%'!$C$6</f>
        <v>5050.3680000000004</v>
      </c>
      <c r="K6" s="77">
        <f>'MEA 30%'!$C$6</f>
        <v>5050.3680000000004</v>
      </c>
      <c r="L6" s="77">
        <f>'MEA 30%'!$C$6</f>
        <v>5050.3680000000004</v>
      </c>
      <c r="M6" s="77">
        <f>'MEA 30%'!$C$6</f>
        <v>5050.3680000000004</v>
      </c>
      <c r="N6" s="77">
        <f>'MEA 30%'!$C$6</f>
        <v>5050.3680000000004</v>
      </c>
      <c r="O6" s="77">
        <f>'MEA 30%'!$C$6</f>
        <v>5050.3680000000004</v>
      </c>
      <c r="P6" s="77">
        <f>'MEA 30%'!$C$6</f>
        <v>5050.3680000000004</v>
      </c>
      <c r="Q6" s="77">
        <f>'MEA 30%'!$C$6</f>
        <v>5050.3680000000004</v>
      </c>
      <c r="R6" s="86">
        <f>'MEA 30%'!$C$6</f>
        <v>5050.3680000000004</v>
      </c>
      <c r="S6" s="77">
        <f>'MEA 30%'!$C$6</f>
        <v>5050.3680000000004</v>
      </c>
      <c r="T6" s="77">
        <f>'MEA 30%'!$C$6</f>
        <v>5050.3680000000004</v>
      </c>
    </row>
    <row r="7" spans="1:20" x14ac:dyDescent="0.3">
      <c r="A7" s="6" t="s">
        <v>6</v>
      </c>
      <c r="B7" s="22" t="s">
        <v>5</v>
      </c>
      <c r="C7" s="117">
        <f>C6*C8</f>
        <v>2525.1840000000002</v>
      </c>
      <c r="D7" s="117">
        <f t="shared" ref="D7:T7" si="0">D6*D8</f>
        <v>3030.2208000000001</v>
      </c>
      <c r="E7" s="117">
        <f t="shared" si="0"/>
        <v>3535.2575999999999</v>
      </c>
      <c r="F7" s="117">
        <f t="shared" si="0"/>
        <v>4040.2944000000007</v>
      </c>
      <c r="G7" s="117">
        <f t="shared" si="0"/>
        <v>4545.3312000000005</v>
      </c>
      <c r="H7" s="117">
        <f t="shared" si="0"/>
        <v>5050.3680000000004</v>
      </c>
      <c r="I7" s="117">
        <f t="shared" si="0"/>
        <v>5555.4048000000012</v>
      </c>
      <c r="J7" s="117">
        <f t="shared" si="0"/>
        <v>6060.4416000000001</v>
      </c>
      <c r="K7" s="117">
        <f t="shared" si="0"/>
        <v>6565.4784000000009</v>
      </c>
      <c r="L7" s="117">
        <f t="shared" si="0"/>
        <v>7070.5151999999998</v>
      </c>
      <c r="M7" s="117">
        <f t="shared" si="0"/>
        <v>7575.5520000000006</v>
      </c>
      <c r="N7" s="117">
        <f t="shared" si="0"/>
        <v>8080.5888000000014</v>
      </c>
      <c r="O7" s="117">
        <f t="shared" si="0"/>
        <v>8585.6256000000012</v>
      </c>
      <c r="P7" s="117">
        <f t="shared" si="0"/>
        <v>9090.6624000000011</v>
      </c>
      <c r="Q7" s="117">
        <f t="shared" si="0"/>
        <v>9595.6992000000009</v>
      </c>
      <c r="R7" s="119">
        <f t="shared" si="0"/>
        <v>10213.3592064</v>
      </c>
      <c r="S7" s="117">
        <f t="shared" si="0"/>
        <v>10605.772800000001</v>
      </c>
      <c r="T7" s="117">
        <f t="shared" si="0"/>
        <v>11110.809600000002</v>
      </c>
    </row>
    <row r="8" spans="1:20" x14ac:dyDescent="0.3">
      <c r="A8" s="3" t="s">
        <v>7</v>
      </c>
      <c r="B8" s="2" t="s">
        <v>29</v>
      </c>
      <c r="C8" s="78">
        <v>0.5</v>
      </c>
      <c r="D8" s="30">
        <v>0.6</v>
      </c>
      <c r="E8" s="78">
        <v>0.7</v>
      </c>
      <c r="F8" s="30">
        <v>0.8</v>
      </c>
      <c r="G8" s="78">
        <v>0.9</v>
      </c>
      <c r="H8" s="30">
        <v>1</v>
      </c>
      <c r="I8" s="78">
        <v>1.1000000000000001</v>
      </c>
      <c r="J8" s="30">
        <v>1.2</v>
      </c>
      <c r="K8" s="78">
        <v>1.3</v>
      </c>
      <c r="L8" s="30">
        <v>1.4</v>
      </c>
      <c r="M8" s="78">
        <v>1.5</v>
      </c>
      <c r="N8" s="30">
        <v>1.6</v>
      </c>
      <c r="O8" s="78">
        <v>1.7</v>
      </c>
      <c r="P8" s="30">
        <v>1.8</v>
      </c>
      <c r="Q8" s="78">
        <v>1.9</v>
      </c>
      <c r="R8" s="32">
        <v>2.0223</v>
      </c>
      <c r="S8" s="78">
        <v>2.1</v>
      </c>
      <c r="T8" s="30">
        <v>2.2000000000000002</v>
      </c>
    </row>
    <row r="9" spans="1:20" ht="18" x14ac:dyDescent="0.4">
      <c r="A9" s="3" t="s">
        <v>32</v>
      </c>
      <c r="B9" s="2" t="s">
        <v>5</v>
      </c>
      <c r="C9" s="99">
        <v>802.09379999999999</v>
      </c>
      <c r="D9" s="99">
        <v>802.09379999999999</v>
      </c>
      <c r="E9" s="99">
        <v>802.09379999999999</v>
      </c>
      <c r="F9" s="99">
        <v>802.09379999999999</v>
      </c>
      <c r="G9" s="99">
        <v>802.09379999999999</v>
      </c>
      <c r="H9" s="99">
        <v>802.09379999999999</v>
      </c>
      <c r="I9" s="99">
        <v>802.09379999999999</v>
      </c>
      <c r="J9" s="99">
        <v>802.09379999999999</v>
      </c>
      <c r="K9" s="99">
        <v>802.09379999999999</v>
      </c>
      <c r="L9" s="99">
        <v>802.09379999999999</v>
      </c>
      <c r="M9" s="99">
        <v>802.09379999999999</v>
      </c>
      <c r="N9" s="99">
        <v>802.09379999999999</v>
      </c>
      <c r="O9" s="99">
        <v>802.09379999999999</v>
      </c>
      <c r="P9" s="99">
        <v>802.09379999999999</v>
      </c>
      <c r="Q9" s="99">
        <v>802.09379999999999</v>
      </c>
      <c r="R9" s="24">
        <v>802.09379999999999</v>
      </c>
      <c r="S9" s="99">
        <v>802.09379999999999</v>
      </c>
      <c r="T9" s="99">
        <v>802.09379999999999</v>
      </c>
    </row>
    <row r="10" spans="1:20" ht="18" x14ac:dyDescent="0.4">
      <c r="A10" s="3" t="s">
        <v>33</v>
      </c>
      <c r="B10" s="2" t="s">
        <v>5</v>
      </c>
      <c r="C10" s="99">
        <v>594.23860000000002</v>
      </c>
      <c r="D10" s="99">
        <v>554.83259999999996</v>
      </c>
      <c r="E10" s="99">
        <v>516.45910000000003</v>
      </c>
      <c r="F10" s="99">
        <v>479.01889999999997</v>
      </c>
      <c r="G10" s="99">
        <v>442.48750000000001</v>
      </c>
      <c r="H10" s="99">
        <v>406.78109999999998</v>
      </c>
      <c r="I10" s="99">
        <v>371.85550000000001</v>
      </c>
      <c r="J10" s="99">
        <v>337.62470000000002</v>
      </c>
      <c r="K10" s="99">
        <v>304.08659999999998</v>
      </c>
      <c r="L10" s="99">
        <v>271.18029999999999</v>
      </c>
      <c r="M10" s="99">
        <v>238.87190000000001</v>
      </c>
      <c r="N10" s="99">
        <v>207.19</v>
      </c>
      <c r="O10" s="99">
        <v>176.0694</v>
      </c>
      <c r="P10" s="99">
        <v>145.571</v>
      </c>
      <c r="Q10" s="99">
        <v>115.6884</v>
      </c>
      <c r="R10" s="24">
        <v>80.176339999999996</v>
      </c>
      <c r="S10" s="99">
        <v>58.349879999999999</v>
      </c>
      <c r="T10" s="99">
        <v>31.636749999999999</v>
      </c>
    </row>
    <row r="11" spans="1:20" x14ac:dyDescent="0.3">
      <c r="A11" s="3" t="s">
        <v>49</v>
      </c>
      <c r="B11" s="2" t="s">
        <v>5</v>
      </c>
      <c r="C11" s="99">
        <v>207.8552</v>
      </c>
      <c r="D11" s="99">
        <v>247.2612</v>
      </c>
      <c r="E11" s="99">
        <v>285.64179999999999</v>
      </c>
      <c r="F11" s="99">
        <v>323.07490000000001</v>
      </c>
      <c r="G11" s="99">
        <v>359.60629999999998</v>
      </c>
      <c r="H11" s="99">
        <v>395.31279999999998</v>
      </c>
      <c r="I11" s="99">
        <v>430.23829999999998</v>
      </c>
      <c r="J11" s="99">
        <v>464.4692</v>
      </c>
      <c r="K11" s="99">
        <v>498.00720000000001</v>
      </c>
      <c r="L11" s="99">
        <v>530.91380000000004</v>
      </c>
      <c r="M11" s="99">
        <v>563.22190000000001</v>
      </c>
      <c r="N11" s="99">
        <v>594.90380000000005</v>
      </c>
      <c r="O11" s="99">
        <v>626.02440000000001</v>
      </c>
      <c r="P11" s="99">
        <v>656.52260000000001</v>
      </c>
      <c r="Q11" s="99">
        <v>686.40539999999999</v>
      </c>
      <c r="R11" s="24">
        <v>721.91759999999999</v>
      </c>
      <c r="S11" s="99">
        <v>743.74400000000003</v>
      </c>
      <c r="T11" s="99">
        <v>770.45709999999997</v>
      </c>
    </row>
    <row r="12" spans="1:20" ht="18" x14ac:dyDescent="0.4">
      <c r="A12" s="102" t="s">
        <v>19</v>
      </c>
      <c r="B12" s="5" t="s">
        <v>8</v>
      </c>
      <c r="C12" s="60">
        <f>(C9-C10)/C9*100</f>
        <v>25.914076383585062</v>
      </c>
      <c r="D12" s="60">
        <f t="shared" ref="D12:T12" si="1">(D9-D10)/D9*100</f>
        <v>30.826968117693969</v>
      </c>
      <c r="E12" s="60">
        <f t="shared" si="1"/>
        <v>35.611134258860986</v>
      </c>
      <c r="F12" s="60">
        <f t="shared" si="1"/>
        <v>40.278942437904398</v>
      </c>
      <c r="G12" s="60">
        <f t="shared" si="1"/>
        <v>44.833447160419389</v>
      </c>
      <c r="H12" s="60">
        <f t="shared" si="1"/>
        <v>49.285096082278656</v>
      </c>
      <c r="I12" s="60">
        <f t="shared" si="1"/>
        <v>53.639399780923384</v>
      </c>
      <c r="J12" s="60">
        <f t="shared" si="1"/>
        <v>57.907080194361306</v>
      </c>
      <c r="K12" s="60">
        <f t="shared" si="1"/>
        <v>62.088399137357754</v>
      </c>
      <c r="L12" s="60">
        <f t="shared" si="1"/>
        <v>66.190949238106569</v>
      </c>
      <c r="M12" s="60">
        <f t="shared" si="1"/>
        <v>70.21895693496198</v>
      </c>
      <c r="N12" s="60">
        <f t="shared" si="1"/>
        <v>74.16885656016791</v>
      </c>
      <c r="O12" s="60">
        <f t="shared" si="1"/>
        <v>78.048776838818597</v>
      </c>
      <c r="P12" s="60">
        <f t="shared" si="1"/>
        <v>81.851125142720221</v>
      </c>
      <c r="Q12" s="60">
        <f t="shared" si="1"/>
        <v>85.57669938353844</v>
      </c>
      <c r="R12" s="24">
        <f t="shared" si="1"/>
        <v>90.004119218974139</v>
      </c>
      <c r="S12" s="60">
        <f t="shared" si="1"/>
        <v>92.725304696283644</v>
      </c>
      <c r="T12" s="60">
        <f t="shared" si="1"/>
        <v>96.055729392248139</v>
      </c>
    </row>
    <row r="13" spans="1:20" x14ac:dyDescent="0.3">
      <c r="A13" s="3" t="s">
        <v>20</v>
      </c>
      <c r="B13" s="2" t="s">
        <v>1</v>
      </c>
      <c r="C13" s="99">
        <v>40.542659999999998</v>
      </c>
      <c r="D13" s="99">
        <v>42.965859999999999</v>
      </c>
      <c r="E13" s="99">
        <v>44.984630000000003</v>
      </c>
      <c r="F13" s="99">
        <v>46.692500000000003</v>
      </c>
      <c r="G13" s="99">
        <v>48.155540000000002</v>
      </c>
      <c r="H13" s="99">
        <v>49.42239</v>
      </c>
      <c r="I13" s="99">
        <v>50.528280000000002</v>
      </c>
      <c r="J13" s="99">
        <v>51.499859999999998</v>
      </c>
      <c r="K13" s="99">
        <v>52.35669</v>
      </c>
      <c r="L13" s="99">
        <v>53.115630000000003</v>
      </c>
      <c r="M13" s="99">
        <v>53.785800000000002</v>
      </c>
      <c r="N13" s="99">
        <v>54.377160000000003</v>
      </c>
      <c r="O13" s="99">
        <v>54.895690000000002</v>
      </c>
      <c r="P13" s="99">
        <v>55.343069999999997</v>
      </c>
      <c r="Q13" s="99">
        <v>55.719050000000003</v>
      </c>
      <c r="R13" s="24">
        <v>56.070749999999997</v>
      </c>
      <c r="S13" s="99">
        <v>56.216119999999997</v>
      </c>
      <c r="T13" s="99">
        <v>56.257759999999998</v>
      </c>
    </row>
    <row r="14" spans="1:20" ht="18" x14ac:dyDescent="0.4">
      <c r="A14" s="3" t="s">
        <v>21</v>
      </c>
      <c r="B14" s="2" t="s">
        <v>1</v>
      </c>
      <c r="C14" s="99">
        <v>18.710930000000001</v>
      </c>
      <c r="D14" s="99">
        <v>20.05</v>
      </c>
      <c r="E14" s="99">
        <v>21.46219</v>
      </c>
      <c r="F14" s="99">
        <v>22.884779999999999</v>
      </c>
      <c r="G14" s="99">
        <v>24.281099999999999</v>
      </c>
      <c r="H14" s="99">
        <v>25.63289</v>
      </c>
      <c r="I14" s="99">
        <v>26.93328</v>
      </c>
      <c r="J14" s="99">
        <v>28.18036</v>
      </c>
      <c r="K14" s="99">
        <v>29.37275</v>
      </c>
      <c r="L14" s="99">
        <v>30.5152</v>
      </c>
      <c r="M14" s="99">
        <v>31.613759999999999</v>
      </c>
      <c r="N14" s="99">
        <v>32.669159999999998</v>
      </c>
      <c r="O14" s="99">
        <v>33.690959999999997</v>
      </c>
      <c r="P14" s="99">
        <v>34.684950000000001</v>
      </c>
      <c r="Q14" s="99">
        <v>35.661679999999997</v>
      </c>
      <c r="R14" s="24">
        <v>36.851590000000002</v>
      </c>
      <c r="S14" s="99">
        <v>37.625660000000003</v>
      </c>
      <c r="T14" s="99">
        <v>38.70364</v>
      </c>
    </row>
    <row r="15" spans="1:20" x14ac:dyDescent="0.3">
      <c r="A15" s="3" t="s">
        <v>113</v>
      </c>
      <c r="B15" s="2" t="s">
        <v>5</v>
      </c>
      <c r="C15">
        <f>0.03534068+0.000366101+0.0119295</f>
        <v>4.7636281000000003E-2</v>
      </c>
      <c r="D15">
        <f>0.0493538+0.0005264474+0.01565401</f>
        <v>6.5534257400000004E-2</v>
      </c>
      <c r="E15">
        <f>0.06535027+0.0007113512+0.01953507</f>
        <v>8.5596691200000005E-2</v>
      </c>
      <c r="F15">
        <f>0.08315472+0.0009174488+0.02348551</f>
        <v>0.1075576788</v>
      </c>
      <c r="G15">
        <f>0.1026376+0.00114173+0.02744222</f>
        <v>0.13122154999999999</v>
      </c>
      <c r="H15">
        <f>0.1237438+0.001381752+0.03135929</f>
        <v>0.15648484200000001</v>
      </c>
      <c r="I15">
        <f>0.1464631+0.001635562+0.03520487</f>
        <v>0.18330353200000002</v>
      </c>
      <c r="J15">
        <f>0.1708744+0.001901693+0.03895257</f>
        <v>0.21172866300000001</v>
      </c>
      <c r="K15">
        <f>0.1971034+0.002179014+0.04258236</f>
        <v>0.241864774</v>
      </c>
      <c r="L15">
        <f>0.2254477+0.002467514+0.04608492</f>
        <v>0.27400013400000001</v>
      </c>
      <c r="M15">
        <f>0.256235+0.002766571+0.04943666</f>
        <v>0.30843823100000001</v>
      </c>
      <c r="N15">
        <f>0.2900935+0.003077285+0.05263066</f>
        <v>0.34580144499999999</v>
      </c>
      <c r="O15">
        <f>0.3279904+0.003401577+0.05565476</f>
        <v>0.38704673700000003</v>
      </c>
      <c r="P15">
        <f>0.3713357+0.00374175+0.05848533</f>
        <v>0.43356277999999998</v>
      </c>
      <c r="Q15">
        <f>0.422706+0.004103164+0.06109945</f>
        <v>0.48790861400000002</v>
      </c>
      <c r="R15" s="24">
        <f>0.5035709+0.004586183+0.06392705</f>
        <v>0.57208413300000005</v>
      </c>
      <c r="S15">
        <f>0.5728244+0.004926773+0.06542852</f>
        <v>0.643179693</v>
      </c>
      <c r="T15">
        <f>0.7077076+0.005429637+0.06676126</f>
        <v>0.77989849700000002</v>
      </c>
    </row>
    <row r="16" spans="1:20" ht="18" x14ac:dyDescent="0.4">
      <c r="A16" s="3" t="s">
        <v>22</v>
      </c>
      <c r="B16" s="2" t="s">
        <v>114</v>
      </c>
      <c r="C16">
        <f>4722.909/(4133.375+2401.8+2118.982)</f>
        <v>0.54573877039670071</v>
      </c>
      <c r="D16">
        <f>5618.296/(4959.936+2882.159+2542.768)</f>
        <v>0.54100819625641672</v>
      </c>
      <c r="E16">
        <f>6490.384/(5786.464+3362.518+2966.551)</f>
        <v>0.53570767377712569</v>
      </c>
      <c r="F16">
        <f>7340.943/(6612.963+3842.876+3390.335)</f>
        <v>0.53017844496248567</v>
      </c>
      <c r="G16">
        <f>8171.014/(7439.434+4323.236+3814.118)</f>
        <v>0.52456347226398659</v>
      </c>
      <c r="H16">
        <f>8982.34/(8265.88+4803.593+4237.901)</f>
        <v>0.51898918923228921</v>
      </c>
      <c r="I16">
        <f>9775.922/(9092.299+5283.952+4661.686)</f>
        <v>0.51349691933532515</v>
      </c>
      <c r="J16">
        <f>10553.72/(9918.689+5764.309+5085.47)</f>
        <v>0.50816073674765028</v>
      </c>
      <c r="K16">
        <f>11315.77/(10745.05+6244.667+5509.257)</f>
        <v>0.5029460454507837</v>
      </c>
      <c r="L16">
        <f>12063.48/(11571.38+6725.025+5933.043)</f>
        <v>0.49788505293228313</v>
      </c>
      <c r="M16">
        <f>12797.59/(12397.66+7205.384+6356.833)</f>
        <v>0.49297575639514779</v>
      </c>
      <c r="N16">
        <f>13517.47/(13223.9+7685.74+6780.622)</f>
        <v>0.48816692308653492</v>
      </c>
      <c r="O16">
        <f>14224.6/(14050.07+8166.098+7204.414)</f>
        <v>0.48349145506366942</v>
      </c>
      <c r="P16">
        <f>14917.58/(14876.15+8646.456+7628.206)</f>
        <v>0.47888254084676835</v>
      </c>
      <c r="Q16">
        <f>15596.58/(15702.1+9126.812+8051.998)</f>
        <v>0.47433541224984338</v>
      </c>
      <c r="R16" s="24">
        <f>16403.49/(16711.94+9714.287+9714.287)</f>
        <v>0.45388092709472821</v>
      </c>
      <c r="S16">
        <f>16899.43/(17353.22+10087.52+8899.601)</f>
        <v>0.46503223511303871</v>
      </c>
      <c r="T16">
        <f>17506.41/(18177.8+10567.88+9323.401)</f>
        <v>0.45985901261971629</v>
      </c>
    </row>
    <row r="17" spans="1:20" ht="18" x14ac:dyDescent="0.4">
      <c r="A17" s="3" t="s">
        <v>23</v>
      </c>
      <c r="B17" s="2" t="s">
        <v>1</v>
      </c>
      <c r="C17">
        <v>65</v>
      </c>
      <c r="D17" s="99">
        <v>65</v>
      </c>
      <c r="E17" s="99">
        <v>65</v>
      </c>
      <c r="F17" s="99">
        <v>65</v>
      </c>
      <c r="G17" s="99">
        <v>65</v>
      </c>
      <c r="H17" s="99">
        <v>65</v>
      </c>
      <c r="I17" s="99">
        <v>65</v>
      </c>
      <c r="J17" s="99">
        <v>65</v>
      </c>
      <c r="K17" s="99">
        <v>65</v>
      </c>
      <c r="L17" s="99">
        <v>65</v>
      </c>
      <c r="M17" s="99">
        <v>65</v>
      </c>
      <c r="N17" s="99">
        <v>65</v>
      </c>
      <c r="O17" s="99">
        <v>65</v>
      </c>
      <c r="P17" s="99">
        <v>65</v>
      </c>
      <c r="Q17" s="99">
        <v>65</v>
      </c>
      <c r="R17" s="24">
        <v>65</v>
      </c>
      <c r="S17" s="99">
        <v>65</v>
      </c>
      <c r="T17" s="99">
        <v>65</v>
      </c>
    </row>
    <row r="18" spans="1:20" ht="18" x14ac:dyDescent="0.4">
      <c r="A18" s="3" t="s">
        <v>24</v>
      </c>
      <c r="B18" s="2" t="s">
        <v>114</v>
      </c>
      <c r="C18">
        <v>0.21</v>
      </c>
      <c r="D18" s="99">
        <v>0.21</v>
      </c>
      <c r="E18" s="99">
        <v>0.21</v>
      </c>
      <c r="F18" s="99">
        <v>0.21</v>
      </c>
      <c r="G18" s="99">
        <v>0.21</v>
      </c>
      <c r="H18" s="99">
        <v>0.21</v>
      </c>
      <c r="I18" s="99">
        <v>0.21</v>
      </c>
      <c r="J18" s="99">
        <v>0.21</v>
      </c>
      <c r="K18" s="99">
        <v>0.21</v>
      </c>
      <c r="L18" s="99">
        <v>0.21</v>
      </c>
      <c r="M18" s="99">
        <v>0.21</v>
      </c>
      <c r="N18" s="99">
        <v>0.21</v>
      </c>
      <c r="O18" s="99">
        <v>0.21</v>
      </c>
      <c r="P18" s="99">
        <v>0.21</v>
      </c>
      <c r="Q18" s="99">
        <v>0.21</v>
      </c>
      <c r="R18" s="24">
        <v>0.21</v>
      </c>
      <c r="S18" s="99">
        <v>0.21</v>
      </c>
      <c r="T18" s="99">
        <v>0.21</v>
      </c>
    </row>
    <row r="19" spans="1:20" x14ac:dyDescent="0.3">
      <c r="A19" s="3" t="s">
        <v>25</v>
      </c>
      <c r="B19" s="2" t="s">
        <v>10</v>
      </c>
      <c r="C19" s="60">
        <v>771.36500000000001</v>
      </c>
      <c r="D19" s="60">
        <v>928.42700000000002</v>
      </c>
      <c r="E19" s="60">
        <v>1085.96</v>
      </c>
      <c r="F19" s="60">
        <v>1243.97</v>
      </c>
      <c r="G19" s="60">
        <v>1402.43</v>
      </c>
      <c r="H19" s="60">
        <v>1561.25</v>
      </c>
      <c r="I19" s="60">
        <v>1720.47</v>
      </c>
      <c r="J19" s="60">
        <v>1879.96</v>
      </c>
      <c r="K19" s="60">
        <v>2039.78</v>
      </c>
      <c r="L19" s="60">
        <v>2199.7199999999998</v>
      </c>
      <c r="M19" s="60">
        <v>2359.62</v>
      </c>
      <c r="N19" s="60">
        <v>2517.7399999999998</v>
      </c>
      <c r="O19" s="60">
        <v>2673.7</v>
      </c>
      <c r="P19" s="60">
        <v>2827.76</v>
      </c>
      <c r="Q19" s="60">
        <v>2980.95</v>
      </c>
      <c r="R19" s="24">
        <v>3167.34</v>
      </c>
      <c r="S19" s="60">
        <v>3285.07</v>
      </c>
      <c r="T19" s="60">
        <v>3435.76</v>
      </c>
    </row>
    <row r="20" spans="1:20" ht="18" x14ac:dyDescent="0.4">
      <c r="A20" s="3" t="s">
        <v>26</v>
      </c>
      <c r="B20" s="2" t="s">
        <v>1</v>
      </c>
      <c r="C20" s="99">
        <v>121.941</v>
      </c>
      <c r="D20" s="99">
        <v>121.9226</v>
      </c>
      <c r="E20" s="99">
        <v>121.9066</v>
      </c>
      <c r="F20" s="99">
        <v>121.89230000000001</v>
      </c>
      <c r="G20" s="118">
        <v>121.8793</v>
      </c>
      <c r="H20" s="99">
        <v>121.8673</v>
      </c>
      <c r="I20" s="99">
        <v>121.8562</v>
      </c>
      <c r="J20" s="99">
        <v>121.8455</v>
      </c>
      <c r="K20" s="99">
        <v>121.83580000000001</v>
      </c>
      <c r="L20" s="99">
        <v>121.82640000000001</v>
      </c>
      <c r="M20" s="99">
        <v>121.81740000000001</v>
      </c>
      <c r="N20" s="99">
        <v>121.8094</v>
      </c>
      <c r="O20" s="99">
        <v>121.8017</v>
      </c>
      <c r="P20" s="99">
        <v>121.7944</v>
      </c>
      <c r="Q20" s="99">
        <v>121.7873</v>
      </c>
      <c r="R20" s="24">
        <v>121.77889999999999</v>
      </c>
      <c r="S20" s="99">
        <v>121.7731</v>
      </c>
      <c r="T20" s="99">
        <v>121.76560000000001</v>
      </c>
    </row>
    <row r="21" spans="1:20" x14ac:dyDescent="0.3">
      <c r="A21" s="3" t="s">
        <v>115</v>
      </c>
      <c r="B21" s="2" t="s">
        <v>5</v>
      </c>
      <c r="C21">
        <f>0.01326434+0.0002450182+0.005019625</f>
        <v>1.8528983200000002E-2</v>
      </c>
      <c r="D21">
        <f>0.01563992+0.0002888531+0.005918641</f>
        <v>2.18474141E-2</v>
      </c>
      <c r="E21">
        <f>0.01792751+0.0003310772+0.006784236</f>
        <v>2.5042823200000001E-2</v>
      </c>
      <c r="F21">
        <f>0.02014539+0.0003720181+0.007621399</f>
        <v>2.81388071E-2</v>
      </c>
      <c r="G21" s="99">
        <f>0.02228451+0.0004115145+0.008428907</f>
        <v>3.1124931500000001E-2</v>
      </c>
      <c r="H21">
        <f>0.02437119+0.0004500718+0.009215185</f>
        <v>3.4036446800000002E-2</v>
      </c>
      <c r="I21">
        <f>0.02638538+0.0004872813+0.009974006</f>
        <v>3.6846667299999997E-2</v>
      </c>
      <c r="J21">
        <f>0.02834883+0.0005235708+0.01071303</f>
        <v>3.9585430800000002E-2</v>
      </c>
      <c r="K21">
        <f>0.03027907+0.0005592812+0.01143766</f>
        <v>4.2276011200000005E-2</v>
      </c>
      <c r="L21">
        <f>0.03217408+0.0005943681+0.01214762</f>
        <v>4.4916068099999998E-2</v>
      </c>
      <c r="M21">
        <f>0.03409578+0.0006300589+0.01286257</f>
        <v>4.7588408900000004E-2</v>
      </c>
      <c r="N21">
        <f>0.03637621+0.0006729634+0.01368611</f>
        <v>5.0735283399999997E-2</v>
      </c>
      <c r="O21">
        <f>0.0390687+0.0007241557+0.01463438</f>
        <v>5.44272357E-2</v>
      </c>
      <c r="P21">
        <f>0.0421697+0.0007836001+0.01570382</f>
        <v>5.8657120099999994E-2</v>
      </c>
      <c r="Q21">
        <f>0.04546685+0.0008470872+0.01682695</f>
        <v>6.3140887199999995E-2</v>
      </c>
      <c r="R21" s="24">
        <f>0.04972941+0.0009295453+0.01825924</f>
        <v>6.8918195299999999E-2</v>
      </c>
      <c r="S21">
        <f>0.05256336+0.0009846077+0.01919924</f>
        <v>7.2747207700000011E-2</v>
      </c>
      <c r="T21">
        <f>0.05652902+0.001062151+0.02049147</f>
        <v>7.8082640999999994E-2</v>
      </c>
    </row>
    <row r="22" spans="1:20" x14ac:dyDescent="0.3">
      <c r="A22" s="3" t="s">
        <v>116</v>
      </c>
      <c r="B22" s="2" t="s">
        <v>5</v>
      </c>
      <c r="C22" s="99">
        <f>C21+C15</f>
        <v>6.6165264200000004E-2</v>
      </c>
      <c r="D22" s="99">
        <f t="shared" ref="D22:T22" si="2">D21+D15</f>
        <v>8.7381671500000008E-2</v>
      </c>
      <c r="E22" s="99">
        <f t="shared" si="2"/>
        <v>0.1106395144</v>
      </c>
      <c r="F22" s="99">
        <f t="shared" si="2"/>
        <v>0.1356964859</v>
      </c>
      <c r="G22" s="99">
        <f t="shared" si="2"/>
        <v>0.1623464815</v>
      </c>
      <c r="H22" s="99">
        <f t="shared" si="2"/>
        <v>0.19052128880000002</v>
      </c>
      <c r="I22" s="99">
        <f t="shared" si="2"/>
        <v>0.22015019930000002</v>
      </c>
      <c r="J22" s="99">
        <f t="shared" si="2"/>
        <v>0.25131409380000003</v>
      </c>
      <c r="K22" s="99">
        <f t="shared" si="2"/>
        <v>0.28414078520000002</v>
      </c>
      <c r="L22" s="99">
        <f t="shared" si="2"/>
        <v>0.31891620209999999</v>
      </c>
      <c r="M22" s="99">
        <f t="shared" si="2"/>
        <v>0.3560266399</v>
      </c>
      <c r="N22" s="99">
        <f t="shared" si="2"/>
        <v>0.39653672839999998</v>
      </c>
      <c r="O22" s="99">
        <f t="shared" si="2"/>
        <v>0.44147397270000005</v>
      </c>
      <c r="P22" s="99">
        <f t="shared" si="2"/>
        <v>0.4922199001</v>
      </c>
      <c r="Q22" s="99">
        <f t="shared" si="2"/>
        <v>0.55104950120000007</v>
      </c>
      <c r="R22" s="24">
        <f t="shared" si="2"/>
        <v>0.64100232830000003</v>
      </c>
      <c r="S22" s="99">
        <f t="shared" si="2"/>
        <v>0.71592690069999998</v>
      </c>
      <c r="T22" s="99">
        <f t="shared" si="2"/>
        <v>0.85798113799999998</v>
      </c>
    </row>
    <row r="23" spans="1:20" x14ac:dyDescent="0.3">
      <c r="A23" s="3" t="s">
        <v>117</v>
      </c>
      <c r="B23" s="2" t="s">
        <v>52</v>
      </c>
      <c r="C23" s="99">
        <f>C22/C11*1000</f>
        <v>0.31832383409219495</v>
      </c>
      <c r="D23" s="99">
        <f t="shared" ref="D23:T23" si="3">D22/D11*1000</f>
        <v>0.35339823433680662</v>
      </c>
      <c r="E23" s="99">
        <f t="shared" si="3"/>
        <v>0.38733656768722224</v>
      </c>
      <c r="F23" s="99">
        <f t="shared" si="3"/>
        <v>0.42001556264507084</v>
      </c>
      <c r="G23" s="99">
        <f t="shared" si="3"/>
        <v>0.45145616609052736</v>
      </c>
      <c r="H23" s="99">
        <f t="shared" si="3"/>
        <v>0.48195072054332683</v>
      </c>
      <c r="I23" s="99">
        <f t="shared" si="3"/>
        <v>0.511693634202255</v>
      </c>
      <c r="J23" s="99">
        <f t="shared" si="3"/>
        <v>0.54107806028903538</v>
      </c>
      <c r="K23" s="99">
        <f t="shared" si="3"/>
        <v>0.57055557670652157</v>
      </c>
      <c r="L23" s="99">
        <f t="shared" si="3"/>
        <v>0.60069299780868379</v>
      </c>
      <c r="M23" s="99">
        <f t="shared" si="3"/>
        <v>0.63212499354162188</v>
      </c>
      <c r="N23" s="99">
        <f t="shared" si="3"/>
        <v>0.66655605225584369</v>
      </c>
      <c r="O23" s="99">
        <f t="shared" si="3"/>
        <v>0.7052025012124129</v>
      </c>
      <c r="P23" s="99">
        <f t="shared" si="3"/>
        <v>0.7497379375820421</v>
      </c>
      <c r="Q23" s="99">
        <f t="shared" si="3"/>
        <v>0.80280472910032474</v>
      </c>
      <c r="R23" s="24">
        <f t="shared" si="3"/>
        <v>0.88791619472914929</v>
      </c>
      <c r="S23" s="99">
        <f t="shared" si="3"/>
        <v>0.96259855635810165</v>
      </c>
      <c r="T23" s="99">
        <f t="shared" si="3"/>
        <v>1.1136001446414083</v>
      </c>
    </row>
    <row r="24" spans="1:20" x14ac:dyDescent="0.3">
      <c r="A24" s="3" t="s">
        <v>34</v>
      </c>
      <c r="B24" s="2" t="s">
        <v>28</v>
      </c>
      <c r="C24" s="99">
        <f>C19/C11</f>
        <v>3.7110690519169114</v>
      </c>
      <c r="D24" s="99">
        <f t="shared" ref="D24:T24" si="4">D19/D11</f>
        <v>3.7548430566542588</v>
      </c>
      <c r="E24" s="99">
        <f t="shared" si="4"/>
        <v>3.8018245228814553</v>
      </c>
      <c r="F24" s="99">
        <f t="shared" si="4"/>
        <v>3.8504074442180434</v>
      </c>
      <c r="G24" s="99">
        <f t="shared" si="4"/>
        <v>3.8999038670902042</v>
      </c>
      <c r="H24" s="99">
        <f t="shared" si="4"/>
        <v>3.949404117448259</v>
      </c>
      <c r="I24" s="99">
        <f t="shared" si="4"/>
        <v>3.998876901475299</v>
      </c>
      <c r="J24" s="99">
        <f t="shared" si="4"/>
        <v>4.0475450255905017</v>
      </c>
      <c r="K24" s="99">
        <f t="shared" si="4"/>
        <v>4.095884557492341</v>
      </c>
      <c r="L24" s="99">
        <f t="shared" si="4"/>
        <v>4.1432714689277237</v>
      </c>
      <c r="M24" s="99">
        <f t="shared" si="4"/>
        <v>4.1895032845846369</v>
      </c>
      <c r="N24" s="99">
        <f t="shared" si="4"/>
        <v>4.2321800600365966</v>
      </c>
      <c r="O24" s="99">
        <f t="shared" si="4"/>
        <v>4.2709197916247348</v>
      </c>
      <c r="P24" s="99">
        <f t="shared" si="4"/>
        <v>4.3071784581368568</v>
      </c>
      <c r="Q24" s="99">
        <f t="shared" si="4"/>
        <v>4.3428417084131326</v>
      </c>
      <c r="R24" s="24">
        <f t="shared" si="4"/>
        <v>4.3873982293824119</v>
      </c>
      <c r="S24" s="99">
        <f t="shared" si="4"/>
        <v>4.4169364727648226</v>
      </c>
      <c r="T24" s="99">
        <f t="shared" si="4"/>
        <v>4.4593787246557923</v>
      </c>
    </row>
    <row r="25" spans="1:20" x14ac:dyDescent="0.3">
      <c r="A25" s="150" t="s">
        <v>27</v>
      </c>
      <c r="B25" s="12" t="s">
        <v>36</v>
      </c>
    </row>
    <row r="26" spans="1:20" x14ac:dyDescent="0.3">
      <c r="A26" s="150"/>
      <c r="B26" s="2" t="s">
        <v>11</v>
      </c>
      <c r="C26" s="99">
        <v>0.85336259999999997</v>
      </c>
      <c r="D26" s="99">
        <v>0.85343329999999995</v>
      </c>
      <c r="E26" s="99">
        <v>0.85347620000000002</v>
      </c>
      <c r="F26" s="99">
        <v>0.85347779999999995</v>
      </c>
      <c r="G26" s="99">
        <v>0.85346979999999995</v>
      </c>
      <c r="H26" s="99">
        <v>0.8534119</v>
      </c>
      <c r="I26" s="99">
        <v>0.85336780000000001</v>
      </c>
      <c r="J26" s="99">
        <v>0.85330589999999995</v>
      </c>
      <c r="K26" s="99">
        <v>0.85319679999999998</v>
      </c>
      <c r="L26" s="99">
        <v>0.85306150000000003</v>
      </c>
      <c r="M26" s="99">
        <v>0.8528019</v>
      </c>
      <c r="N26" s="99">
        <v>0.85188750000000002</v>
      </c>
      <c r="O26" s="99">
        <v>0.85034949999999998</v>
      </c>
      <c r="P26" s="99">
        <v>0.84828579999999998</v>
      </c>
      <c r="Q26" s="99">
        <v>0.84607339999999998</v>
      </c>
      <c r="R26" s="24">
        <v>0.84320530000000005</v>
      </c>
      <c r="S26" s="99">
        <v>0.84131370000000005</v>
      </c>
      <c r="T26" s="99">
        <v>0.83850340000000001</v>
      </c>
    </row>
    <row r="27" spans="1:20" x14ac:dyDescent="0.3">
      <c r="A27" s="150"/>
      <c r="B27" s="2" t="s">
        <v>12</v>
      </c>
      <c r="C27" s="99">
        <v>2.5286940000000002E-3</v>
      </c>
      <c r="D27" s="99">
        <v>2.403147E-3</v>
      </c>
      <c r="E27" s="99">
        <v>2.2790050000000002E-3</v>
      </c>
      <c r="F27" s="99">
        <v>2.1623570000000002E-3</v>
      </c>
      <c r="G27" s="99">
        <v>2.0559739999999999E-3</v>
      </c>
      <c r="H27" s="99">
        <v>1.9598660000000002E-3</v>
      </c>
      <c r="I27" s="99">
        <v>1.8735710000000001E-3</v>
      </c>
      <c r="J27" s="99">
        <v>1.7958029999999999E-3</v>
      </c>
      <c r="K27" s="99">
        <v>1.725863E-3</v>
      </c>
      <c r="L27" s="99">
        <v>1.6625190000000001E-3</v>
      </c>
      <c r="M27" s="99">
        <v>1.6045429999999999E-3</v>
      </c>
      <c r="N27" s="99">
        <v>1.550615E-3</v>
      </c>
      <c r="O27" s="99">
        <v>1.4996930000000001E-3</v>
      </c>
      <c r="P27" s="99">
        <v>1.4516080000000001E-3</v>
      </c>
      <c r="Q27" s="99">
        <v>1.406168E-3</v>
      </c>
      <c r="R27" s="24">
        <v>1.3534210000000001E-3</v>
      </c>
      <c r="S27" s="99">
        <v>1.3206520000000001E-3</v>
      </c>
      <c r="T27" s="99">
        <v>1.2767550000000001E-3</v>
      </c>
    </row>
    <row r="28" spans="1:20" x14ac:dyDescent="0.3">
      <c r="A28" s="150"/>
      <c r="B28" s="2" t="s">
        <v>13</v>
      </c>
      <c r="C28" s="99">
        <v>1.4178190000000001E-4</v>
      </c>
      <c r="D28" s="99">
        <v>1.3970869999999999E-4</v>
      </c>
      <c r="E28" s="99">
        <v>1.3761089999999999E-4</v>
      </c>
      <c r="F28" s="99">
        <v>1.356222E-4</v>
      </c>
      <c r="G28" s="99">
        <v>1.3382549999999999E-4</v>
      </c>
      <c r="H28" s="99">
        <v>1.3222090000000001E-4</v>
      </c>
      <c r="I28" s="99">
        <v>1.308161E-4</v>
      </c>
      <c r="J28" s="99">
        <v>1.295759E-4</v>
      </c>
      <c r="K28" s="99">
        <v>1.284976E-4</v>
      </c>
      <c r="L28" s="99">
        <v>1.2755230000000001E-4</v>
      </c>
      <c r="M28" s="99">
        <v>1.267033E-4</v>
      </c>
      <c r="N28" s="99">
        <v>1.2587850000000001E-4</v>
      </c>
      <c r="O28" s="99">
        <v>1.250457E-4</v>
      </c>
      <c r="P28" s="99">
        <v>1.242243E-4</v>
      </c>
      <c r="Q28" s="99">
        <v>1.2344649999999999E-4</v>
      </c>
      <c r="R28" s="24">
        <v>1.2256530000000001E-4</v>
      </c>
      <c r="S28" s="99">
        <v>1.220372E-4</v>
      </c>
      <c r="T28" s="99">
        <v>1.2134029999999999E-4</v>
      </c>
    </row>
    <row r="29" spans="1:20" x14ac:dyDescent="0.3">
      <c r="A29" s="150"/>
      <c r="B29" s="2" t="s">
        <v>14</v>
      </c>
      <c r="C29" s="67">
        <v>2.4791079999999999E-5</v>
      </c>
      <c r="D29" s="67">
        <v>2.442703E-5</v>
      </c>
      <c r="E29" s="67">
        <v>2.4054169999999999E-5</v>
      </c>
      <c r="F29" s="67">
        <v>2.3696009999999999E-5</v>
      </c>
      <c r="G29" s="67">
        <v>2.336765E-5</v>
      </c>
      <c r="H29" s="67">
        <v>2.306974E-5</v>
      </c>
      <c r="I29" s="67">
        <v>2.280424E-5</v>
      </c>
      <c r="J29" s="67">
        <v>2.256551E-5</v>
      </c>
      <c r="K29" s="67">
        <v>2.2353549999999999E-5</v>
      </c>
      <c r="L29" s="67">
        <v>2.2163599999999999E-5</v>
      </c>
      <c r="M29" s="67">
        <v>2.1989439999999999E-5</v>
      </c>
      <c r="N29" s="67">
        <v>2.181882E-5</v>
      </c>
      <c r="O29" s="67">
        <v>2.1646149999999999E-5</v>
      </c>
      <c r="P29" s="67">
        <v>2.1474920000000001E-5</v>
      </c>
      <c r="Q29" s="67">
        <v>2.1310449999999999E-5</v>
      </c>
      <c r="R29" s="93">
        <v>2.111989E-5</v>
      </c>
      <c r="S29" s="67">
        <v>2.1002759999999999E-5</v>
      </c>
      <c r="T29" s="67">
        <v>2.0845090000000001E-5</v>
      </c>
    </row>
    <row r="30" spans="1:20" x14ac:dyDescent="0.3">
      <c r="A30" s="150"/>
      <c r="B30" s="2" t="s">
        <v>15</v>
      </c>
      <c r="C30" s="99">
        <v>0.1438489</v>
      </c>
      <c r="D30" s="99">
        <v>0.1439068</v>
      </c>
      <c r="E30" s="99">
        <v>0.14399110000000001</v>
      </c>
      <c r="F30" s="99">
        <v>0.14410890000000001</v>
      </c>
      <c r="G30" s="99">
        <v>0.14422570000000001</v>
      </c>
      <c r="H30" s="99">
        <v>0.14438190000000001</v>
      </c>
      <c r="I30" s="99">
        <v>0.14451420000000001</v>
      </c>
      <c r="J30" s="99">
        <v>0.14465549999999999</v>
      </c>
      <c r="K30" s="99">
        <v>0.14483599999999999</v>
      </c>
      <c r="L30" s="99">
        <v>0.14503579999999999</v>
      </c>
      <c r="M30" s="99">
        <v>0.14535439999999999</v>
      </c>
      <c r="N30" s="99">
        <v>0.1463228</v>
      </c>
      <c r="O30" s="99">
        <v>0.14791080000000001</v>
      </c>
      <c r="P30" s="99">
        <v>0.15002090000000001</v>
      </c>
      <c r="Q30" s="99">
        <v>0.1522771</v>
      </c>
      <c r="R30" s="24">
        <v>0.15519520000000001</v>
      </c>
      <c r="S30" s="99">
        <v>0.1571176</v>
      </c>
      <c r="T30" s="99">
        <v>0.159969</v>
      </c>
    </row>
    <row r="31" spans="1:20" x14ac:dyDescent="0.3">
      <c r="A31" s="150"/>
      <c r="B31" s="2" t="s">
        <v>111</v>
      </c>
      <c r="C31" s="67">
        <v>6.6718999999999996E-5</v>
      </c>
      <c r="D31" s="67">
        <v>6.6266530000000002E-5</v>
      </c>
      <c r="E31" s="67">
        <v>6.5904290000000005E-5</v>
      </c>
      <c r="F31" s="67">
        <v>6.5634539999999999E-5</v>
      </c>
      <c r="G31" s="67">
        <v>6.5390799999999997E-5</v>
      </c>
      <c r="H31" s="67">
        <v>6.5215459999999996E-5</v>
      </c>
      <c r="I31" s="67">
        <v>6.5036849999999997E-5</v>
      </c>
      <c r="J31" s="67">
        <v>6.4887269999999996E-5</v>
      </c>
      <c r="K31" s="67">
        <v>6.4794800000000005E-5</v>
      </c>
      <c r="L31" s="67">
        <v>6.4736120000000007E-5</v>
      </c>
      <c r="M31" s="67">
        <v>6.4810369999999997E-5</v>
      </c>
      <c r="N31" s="67">
        <v>6.5557280000000002E-5</v>
      </c>
      <c r="O31" s="67">
        <v>6.6955890000000007E-5</v>
      </c>
      <c r="P31" s="67">
        <v>6.8919140000000005E-5</v>
      </c>
      <c r="Q31" s="67">
        <v>7.1067570000000002E-5</v>
      </c>
      <c r="R31" s="93">
        <v>7.3904590000000003E-5</v>
      </c>
      <c r="S31" s="67">
        <v>7.5804609999999997E-5</v>
      </c>
      <c r="T31" s="67">
        <v>7.8676459999999995E-5</v>
      </c>
    </row>
    <row r="32" spans="1:20" s="99" customFormat="1" x14ac:dyDescent="0.3">
      <c r="A32" s="150"/>
      <c r="B32" s="2" t="s">
        <v>55</v>
      </c>
      <c r="C32" s="67">
        <v>1.23243E-6</v>
      </c>
      <c r="D32" s="67">
        <v>1.223874E-6</v>
      </c>
      <c r="E32" s="67">
        <v>1.2170909999999999E-6</v>
      </c>
      <c r="F32" s="67">
        <v>1.2120509999999999E-6</v>
      </c>
      <c r="G32" s="67">
        <v>1.2075319999999999E-6</v>
      </c>
      <c r="H32" s="67">
        <v>1.204358E-6</v>
      </c>
      <c r="I32" s="67">
        <v>1.201091E-6</v>
      </c>
      <c r="J32" s="67">
        <v>1.1983940000000001E-6</v>
      </c>
      <c r="K32" s="67">
        <v>1.196817E-6</v>
      </c>
      <c r="L32" s="67">
        <v>1.1959029999999999E-6</v>
      </c>
      <c r="M32" s="67">
        <v>1.1976359999999999E-6</v>
      </c>
      <c r="N32" s="67">
        <v>1.2128160000000001E-6</v>
      </c>
      <c r="O32" s="67">
        <v>1.2410569999999999E-6</v>
      </c>
      <c r="P32" s="67">
        <v>1.28066E-6</v>
      </c>
      <c r="Q32" s="67">
        <v>1.3240510000000001E-6</v>
      </c>
      <c r="R32" s="93">
        <v>1.381447E-6</v>
      </c>
      <c r="S32" s="67">
        <v>1.4199590000000001E-6</v>
      </c>
      <c r="T32" s="67">
        <v>1.47829E-6</v>
      </c>
    </row>
    <row r="33" spans="1:20" x14ac:dyDescent="0.3">
      <c r="A33" s="150"/>
      <c r="B33" s="2" t="s">
        <v>61</v>
      </c>
      <c r="C33" s="67">
        <v>2.5248479999999999E-5</v>
      </c>
      <c r="D33" s="67">
        <v>2.5077350000000001E-5</v>
      </c>
      <c r="E33" s="67">
        <v>2.4939900000000002E-5</v>
      </c>
      <c r="F33" s="67">
        <v>2.4830839999999999E-5</v>
      </c>
      <c r="G33" s="67">
        <v>2.473346E-5</v>
      </c>
      <c r="H33" s="67">
        <v>2.4659139999999999E-5</v>
      </c>
      <c r="I33" s="67">
        <v>2.4584749999999999E-5</v>
      </c>
      <c r="J33" s="67">
        <v>2.4520910000000002E-5</v>
      </c>
      <c r="K33" s="67">
        <v>2.4475679999999999E-5</v>
      </c>
      <c r="L33" s="67">
        <v>2.4441720000000002E-5</v>
      </c>
      <c r="M33" s="67">
        <v>2.444959E-5</v>
      </c>
      <c r="N33" s="67">
        <v>2.4665140000000001E-5</v>
      </c>
      <c r="O33" s="67">
        <v>2.508038E-5</v>
      </c>
      <c r="P33" s="67">
        <v>2.56652E-5</v>
      </c>
      <c r="Q33" s="67">
        <v>2.6301589999999998E-5</v>
      </c>
      <c r="R33" s="93">
        <v>2.7134779999999998E-5</v>
      </c>
      <c r="S33" s="67">
        <v>2.7688310000000001E-5</v>
      </c>
      <c r="T33" s="67">
        <v>2.8519800000000001E-5</v>
      </c>
    </row>
    <row r="34" spans="1:20" x14ac:dyDescent="0.3">
      <c r="A34" s="150" t="s">
        <v>27</v>
      </c>
      <c r="B34" s="12" t="s">
        <v>35</v>
      </c>
    </row>
    <row r="35" spans="1:20" x14ac:dyDescent="0.3">
      <c r="A35" s="150"/>
      <c r="B35" s="2" t="s">
        <v>11</v>
      </c>
      <c r="C35" s="99">
        <v>0.7071096</v>
      </c>
      <c r="D35" s="99">
        <v>0.70709679999999997</v>
      </c>
      <c r="E35" s="99">
        <v>0.70703890000000003</v>
      </c>
      <c r="F35" s="99">
        <v>0.70692010000000005</v>
      </c>
      <c r="G35" s="99">
        <v>0.70679579999999997</v>
      </c>
      <c r="H35" s="99">
        <v>0.70659899999999998</v>
      </c>
      <c r="I35" s="99">
        <v>0.70643549999999999</v>
      </c>
      <c r="J35" s="99">
        <v>0.70625130000000003</v>
      </c>
      <c r="K35" s="99">
        <v>0.70599630000000002</v>
      </c>
      <c r="L35" s="99">
        <v>0.70570469999999996</v>
      </c>
      <c r="M35" s="99">
        <v>0.70521149999999999</v>
      </c>
      <c r="N35" s="99">
        <v>0.70363299999999995</v>
      </c>
      <c r="O35" s="99">
        <v>0.70102730000000002</v>
      </c>
      <c r="P35" s="99">
        <v>0.6975673</v>
      </c>
      <c r="Q35" s="99">
        <v>0.69388289999999997</v>
      </c>
      <c r="R35" s="24">
        <v>0.6891427</v>
      </c>
      <c r="S35" s="99">
        <v>0.68603650000000005</v>
      </c>
      <c r="T35" s="99">
        <v>0.68145180000000005</v>
      </c>
    </row>
    <row r="36" spans="1:20" x14ac:dyDescent="0.3">
      <c r="A36" s="150"/>
      <c r="B36" s="2" t="s">
        <v>12</v>
      </c>
      <c r="C36" s="99">
        <v>1.439395E-3</v>
      </c>
      <c r="D36" s="99">
        <v>1.3677920000000001E-3</v>
      </c>
      <c r="E36" s="99">
        <v>1.2969629999999999E-3</v>
      </c>
      <c r="F36" s="99">
        <v>1.2303710000000001E-3</v>
      </c>
      <c r="G36" s="99">
        <v>1.169645E-3</v>
      </c>
      <c r="H36" s="99">
        <v>1.114734E-3</v>
      </c>
      <c r="I36" s="99">
        <v>1.0654600000000001E-3</v>
      </c>
      <c r="J36" s="99">
        <v>1.021042E-3</v>
      </c>
      <c r="K36" s="99">
        <v>9.8104750000000004E-4</v>
      </c>
      <c r="L36" s="99">
        <v>9.4479980000000002E-4</v>
      </c>
      <c r="M36" s="99">
        <v>9.1149239999999999E-4</v>
      </c>
      <c r="N36" s="99">
        <v>8.7982920000000001E-4</v>
      </c>
      <c r="O36" s="99">
        <v>8.4931809999999998E-4</v>
      </c>
      <c r="P36" s="99">
        <v>8.2001890000000003E-4</v>
      </c>
      <c r="Q36" s="99">
        <v>7.9222009999999998E-4</v>
      </c>
      <c r="R36" s="24">
        <v>7.5986990000000002E-4</v>
      </c>
      <c r="S36" s="99">
        <v>7.3978970000000005E-4</v>
      </c>
      <c r="T36" s="99">
        <v>7.1280140000000002E-4</v>
      </c>
    </row>
    <row r="37" spans="1:20" x14ac:dyDescent="0.3">
      <c r="A37" s="150"/>
      <c r="B37" s="2" t="s">
        <v>13</v>
      </c>
      <c r="C37" s="99">
        <v>1.8456540000000001E-4</v>
      </c>
      <c r="D37" s="99">
        <v>1.8184820000000001E-4</v>
      </c>
      <c r="E37" s="99">
        <v>1.79094E-4</v>
      </c>
      <c r="F37" s="99">
        <v>1.764758E-4</v>
      </c>
      <c r="G37" s="99">
        <v>1.741089E-4</v>
      </c>
      <c r="H37" s="99">
        <v>1.7198499999999999E-4</v>
      </c>
      <c r="I37" s="99">
        <v>1.7012719999999999E-4</v>
      </c>
      <c r="J37" s="99">
        <v>1.6848260000000001E-4</v>
      </c>
      <c r="K37" s="99">
        <v>1.670415E-4</v>
      </c>
      <c r="L37" s="99">
        <v>1.6577049999999999E-4</v>
      </c>
      <c r="M37" s="99">
        <v>1.646021E-4</v>
      </c>
      <c r="N37" s="99">
        <v>1.633397E-4</v>
      </c>
      <c r="O37" s="99">
        <v>1.6195059999999999E-4</v>
      </c>
      <c r="P37" s="99">
        <v>1.6048209999999999E-4</v>
      </c>
      <c r="Q37" s="99">
        <v>1.590498E-4</v>
      </c>
      <c r="R37" s="24">
        <v>1.5736910000000001E-4</v>
      </c>
      <c r="S37" s="99">
        <v>1.5633549999999999E-4</v>
      </c>
      <c r="T37" s="99">
        <v>1.5492150000000001E-4</v>
      </c>
    </row>
    <row r="38" spans="1:20" x14ac:dyDescent="0.3">
      <c r="A38" s="150"/>
      <c r="B38" s="2" t="s">
        <v>14</v>
      </c>
      <c r="C38" s="67">
        <v>2.8252930000000001E-5</v>
      </c>
      <c r="D38" s="67">
        <v>2.783524E-5</v>
      </c>
      <c r="E38" s="67">
        <v>2.7406729999999998E-5</v>
      </c>
      <c r="F38" s="67">
        <v>2.699406E-5</v>
      </c>
      <c r="G38" s="67">
        <v>2.6615570000000001E-5</v>
      </c>
      <c r="H38" s="67">
        <v>2.627072E-5</v>
      </c>
      <c r="I38" s="67">
        <v>2.5963710000000001E-5</v>
      </c>
      <c r="J38" s="67">
        <v>2.5687070000000001E-5</v>
      </c>
      <c r="K38" s="67">
        <v>2.543985E-5</v>
      </c>
      <c r="L38" s="67">
        <v>2.5217260000000001E-5</v>
      </c>
      <c r="M38" s="67">
        <v>2.500923E-5</v>
      </c>
      <c r="N38" s="67">
        <v>2.4786210000000001E-5</v>
      </c>
      <c r="O38" s="67">
        <v>2.454331E-5</v>
      </c>
      <c r="P38" s="67">
        <v>2.428792E-5</v>
      </c>
      <c r="Q38" s="67">
        <v>2.4037300000000001E-5</v>
      </c>
      <c r="R38" s="93">
        <v>2.3740089999999999E-5</v>
      </c>
      <c r="S38" s="67">
        <v>2.3554869999999998E-5</v>
      </c>
      <c r="T38" s="67">
        <v>2.3299629999999998E-5</v>
      </c>
    </row>
    <row r="39" spans="1:20" x14ac:dyDescent="0.3">
      <c r="A39" s="150"/>
      <c r="B39" s="2" t="s">
        <v>15</v>
      </c>
      <c r="C39" s="99">
        <v>0.29119030000000001</v>
      </c>
      <c r="D39" s="99">
        <v>0.29127809999999998</v>
      </c>
      <c r="E39" s="99">
        <v>0.29141010000000001</v>
      </c>
      <c r="F39" s="99">
        <v>0.29159889999999999</v>
      </c>
      <c r="G39" s="99">
        <v>0.29178680000000001</v>
      </c>
      <c r="H39" s="99">
        <v>0.2920412</v>
      </c>
      <c r="I39" s="99">
        <v>0.29225630000000002</v>
      </c>
      <c r="J39" s="99">
        <v>0.292487</v>
      </c>
      <c r="K39" s="99">
        <v>0.29278359999999998</v>
      </c>
      <c r="L39" s="99">
        <v>0.29311300000000001</v>
      </c>
      <c r="M39" s="99">
        <v>0.29364089999999998</v>
      </c>
      <c r="N39" s="99">
        <v>0.29525210000000002</v>
      </c>
      <c r="O39" s="99">
        <v>0.29788900000000001</v>
      </c>
      <c r="P39" s="99">
        <v>0.30137890000000001</v>
      </c>
      <c r="Q39" s="99">
        <v>0.30509130000000001</v>
      </c>
      <c r="R39" s="24">
        <v>0.30986409999999998</v>
      </c>
      <c r="S39" s="99">
        <v>0.31299060000000001</v>
      </c>
      <c r="T39" s="99">
        <v>0.3176021</v>
      </c>
    </row>
    <row r="40" spans="1:20" x14ac:dyDescent="0.3">
      <c r="A40" s="150"/>
      <c r="B40" s="2" t="s">
        <v>111</v>
      </c>
      <c r="C40" s="67">
        <v>3.9831489999999999E-5</v>
      </c>
      <c r="D40" s="67">
        <v>3.955737E-5</v>
      </c>
      <c r="E40" s="67">
        <v>3.933594E-5</v>
      </c>
      <c r="F40" s="67">
        <v>3.916827E-5</v>
      </c>
      <c r="G40" s="67">
        <v>3.9016330000000003E-5</v>
      </c>
      <c r="H40" s="67">
        <v>3.8903509999999998E-5</v>
      </c>
      <c r="I40" s="67">
        <v>3.8789989999999999E-5</v>
      </c>
      <c r="J40" s="67">
        <v>3.8693479999999997E-5</v>
      </c>
      <c r="K40" s="67">
        <v>3.8629340000000002E-5</v>
      </c>
      <c r="L40" s="67">
        <v>3.8584529999999998E-5</v>
      </c>
      <c r="M40" s="67">
        <v>3.8613540000000002E-5</v>
      </c>
      <c r="N40" s="67">
        <v>3.9012949999999997E-5</v>
      </c>
      <c r="O40" s="67">
        <v>3.9769499999999999E-5</v>
      </c>
      <c r="P40" s="67">
        <v>4.0832659999999997E-5</v>
      </c>
      <c r="Q40" s="67">
        <v>4.199267E-5</v>
      </c>
      <c r="R40" s="93">
        <v>4.3518220000000001E-5</v>
      </c>
      <c r="S40" s="67">
        <v>4.4535749999999998E-5</v>
      </c>
      <c r="T40" s="67">
        <v>4.6067969999999998E-5</v>
      </c>
    </row>
    <row r="41" spans="1:20" s="99" customFormat="1" x14ac:dyDescent="0.3">
      <c r="A41" s="150"/>
      <c r="B41" s="2" t="s">
        <v>55</v>
      </c>
      <c r="C41" s="67">
        <v>4.274754E-7</v>
      </c>
      <c r="D41" s="67">
        <v>4.2446480000000003E-7</v>
      </c>
      <c r="E41" s="67">
        <v>4.2205660000000001E-7</v>
      </c>
      <c r="F41" s="67">
        <v>4.2023730000000001E-7</v>
      </c>
      <c r="G41" s="67">
        <v>4.1860099999999998E-7</v>
      </c>
      <c r="H41" s="67">
        <v>4.1741269999999998E-7</v>
      </c>
      <c r="I41" s="67">
        <v>4.1620560000000002E-7</v>
      </c>
      <c r="J41" s="67">
        <v>4.1519289999999999E-7</v>
      </c>
      <c r="K41" s="67">
        <v>4.1454979999999998E-7</v>
      </c>
      <c r="L41" s="67">
        <v>4.1412779999999998E-7</v>
      </c>
      <c r="M41" s="67">
        <v>4.1456420000000002E-7</v>
      </c>
      <c r="N41" s="67">
        <v>4.1932869999999998E-7</v>
      </c>
      <c r="O41" s="67">
        <v>4.2827719999999998E-7</v>
      </c>
      <c r="P41" s="67">
        <v>4.4083239999999998E-7</v>
      </c>
      <c r="Q41" s="67">
        <v>4.5454679999999999E-7</v>
      </c>
      <c r="R41" s="93">
        <v>4.7261320000000001E-7</v>
      </c>
      <c r="S41" s="67">
        <v>4.8468629999999995E-7</v>
      </c>
      <c r="T41" s="67">
        <v>5.0290480000000003E-7</v>
      </c>
    </row>
    <row r="42" spans="1:20" x14ac:dyDescent="0.3">
      <c r="A42" s="150"/>
      <c r="B42" s="2" t="s">
        <v>61</v>
      </c>
      <c r="C42" s="67">
        <v>7.7267100000000008E-6</v>
      </c>
      <c r="D42" s="67">
        <v>7.6735670000000003E-6</v>
      </c>
      <c r="E42" s="67">
        <v>7.6304980000000004E-6</v>
      </c>
      <c r="F42" s="67">
        <v>7.5958399999999996E-6</v>
      </c>
      <c r="G42" s="67">
        <v>7.5647910000000004E-6</v>
      </c>
      <c r="H42" s="67">
        <v>7.5404709999999999E-6</v>
      </c>
      <c r="I42" s="67">
        <v>7.516373E-6</v>
      </c>
      <c r="J42" s="67">
        <v>7.4954439999999998E-6</v>
      </c>
      <c r="K42" s="67">
        <v>7.4798729999999996E-6</v>
      </c>
      <c r="L42" s="67">
        <v>7.4675949999999999E-6</v>
      </c>
      <c r="M42" s="67">
        <v>7.4670499999999999E-6</v>
      </c>
      <c r="N42" s="67">
        <v>7.5240869999999999E-6</v>
      </c>
      <c r="O42" s="67">
        <v>7.6362100000000005E-6</v>
      </c>
      <c r="P42" s="67">
        <v>7.7946180000000008E-6</v>
      </c>
      <c r="Q42" s="67">
        <v>7.9664780000000005E-6</v>
      </c>
      <c r="R42" s="93">
        <v>8.190462E-6</v>
      </c>
      <c r="S42" s="67">
        <v>8.3385789999999993E-6</v>
      </c>
      <c r="T42" s="67">
        <v>8.5601839999999994E-6</v>
      </c>
    </row>
  </sheetData>
  <mergeCells count="2">
    <mergeCell ref="A25:A33"/>
    <mergeCell ref="A34:A4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96"/>
  <sheetViews>
    <sheetView zoomScale="40" zoomScaleNormal="40" workbookViewId="0">
      <selection activeCell="AV11" sqref="AV11"/>
    </sheetView>
  </sheetViews>
  <sheetFormatPr defaultRowHeight="15.6" x14ac:dyDescent="0.3"/>
  <sheetData>
    <row r="1" spans="1:35" x14ac:dyDescent="0.3">
      <c r="A1" s="131"/>
      <c r="B1" s="132"/>
      <c r="C1" s="132"/>
      <c r="D1" s="132"/>
      <c r="E1" s="132"/>
      <c r="F1" s="132"/>
      <c r="G1" s="132"/>
      <c r="H1" s="132"/>
      <c r="I1" s="132"/>
      <c r="J1" s="132"/>
      <c r="K1" s="132"/>
      <c r="L1" s="132"/>
      <c r="M1" s="132"/>
      <c r="N1" s="132"/>
      <c r="O1" s="132"/>
      <c r="P1" s="132"/>
      <c r="Q1" s="132"/>
      <c r="R1" s="132"/>
      <c r="S1" s="132"/>
      <c r="T1" s="132"/>
      <c r="U1" s="132"/>
      <c r="V1" s="132"/>
      <c r="W1" s="132"/>
      <c r="X1" s="132"/>
      <c r="Y1" s="132"/>
      <c r="Z1" s="132"/>
      <c r="AA1" s="132"/>
      <c r="AB1" s="132"/>
      <c r="AC1" s="132"/>
      <c r="AD1" s="132"/>
      <c r="AE1" s="132"/>
      <c r="AF1" s="132"/>
      <c r="AG1" s="132"/>
      <c r="AH1" s="132"/>
      <c r="AI1" s="133"/>
    </row>
    <row r="2" spans="1:35" x14ac:dyDescent="0.3">
      <c r="A2" s="134"/>
      <c r="B2" s="135"/>
      <c r="C2" s="135"/>
      <c r="D2" s="135"/>
      <c r="E2" s="135"/>
      <c r="F2" s="135"/>
      <c r="G2" s="135"/>
      <c r="H2" s="135"/>
      <c r="I2" s="135"/>
      <c r="J2" s="135"/>
      <c r="K2" s="135"/>
      <c r="L2" s="135"/>
      <c r="M2" s="135"/>
      <c r="N2" s="135"/>
      <c r="O2" s="135"/>
      <c r="P2" s="135"/>
      <c r="Q2" s="135"/>
      <c r="R2" s="135"/>
      <c r="S2" s="135"/>
      <c r="T2" s="135"/>
      <c r="U2" s="135"/>
      <c r="V2" s="135"/>
      <c r="W2" s="135"/>
      <c r="X2" s="135"/>
      <c r="Y2" s="135"/>
      <c r="Z2" s="135"/>
      <c r="AA2" s="135"/>
      <c r="AB2" s="135"/>
      <c r="AC2" s="135"/>
      <c r="AD2" s="135"/>
      <c r="AE2" s="135"/>
      <c r="AF2" s="135"/>
      <c r="AG2" s="135"/>
      <c r="AH2" s="135"/>
      <c r="AI2" s="136"/>
    </row>
    <row r="3" spans="1:35" x14ac:dyDescent="0.3">
      <c r="A3" s="134"/>
      <c r="B3" s="135"/>
      <c r="C3" s="135"/>
      <c r="D3" s="135"/>
      <c r="E3" s="135"/>
      <c r="F3" s="135"/>
      <c r="G3" s="135"/>
      <c r="H3" s="135"/>
      <c r="I3" s="135"/>
      <c r="J3" s="135"/>
      <c r="K3" s="135"/>
      <c r="L3" s="135"/>
      <c r="M3" s="135"/>
      <c r="N3" s="135"/>
      <c r="O3" s="135"/>
      <c r="P3" s="135"/>
      <c r="Q3" s="135"/>
      <c r="R3" s="135"/>
      <c r="S3" s="135"/>
      <c r="T3" s="135"/>
      <c r="U3" s="135"/>
      <c r="V3" s="135"/>
      <c r="W3" s="135"/>
      <c r="X3" s="135"/>
      <c r="Y3" s="135"/>
      <c r="Z3" s="135"/>
      <c r="AA3" s="135"/>
      <c r="AB3" s="135"/>
      <c r="AC3" s="135"/>
      <c r="AD3" s="135"/>
      <c r="AE3" s="135"/>
      <c r="AF3" s="135"/>
      <c r="AG3" s="135"/>
      <c r="AH3" s="135"/>
      <c r="AI3" s="136"/>
    </row>
    <row r="4" spans="1:35" x14ac:dyDescent="0.3">
      <c r="A4" s="134"/>
      <c r="B4" s="135"/>
      <c r="C4" s="135"/>
      <c r="D4" s="135"/>
      <c r="E4" s="135"/>
      <c r="F4" s="135"/>
      <c r="G4" s="135"/>
      <c r="H4" s="135"/>
      <c r="I4" s="135"/>
      <c r="J4" s="135"/>
      <c r="K4" s="135"/>
      <c r="L4" s="135"/>
      <c r="M4" s="135"/>
      <c r="N4" s="135"/>
      <c r="O4" s="135"/>
      <c r="P4" s="135"/>
      <c r="Q4" s="135"/>
      <c r="R4" s="135"/>
      <c r="S4" s="135"/>
      <c r="T4" s="135"/>
      <c r="U4" s="135"/>
      <c r="V4" s="135"/>
      <c r="W4" s="135"/>
      <c r="X4" s="135"/>
      <c r="Y4" s="135"/>
      <c r="Z4" s="135"/>
      <c r="AA4" s="135"/>
      <c r="AB4" s="135"/>
      <c r="AC4" s="135"/>
      <c r="AD4" s="135"/>
      <c r="AE4" s="135"/>
      <c r="AF4" s="135"/>
      <c r="AG4" s="135"/>
      <c r="AH4" s="135"/>
      <c r="AI4" s="136"/>
    </row>
    <row r="5" spans="1:35" x14ac:dyDescent="0.3">
      <c r="A5" s="134"/>
      <c r="B5" s="135"/>
      <c r="C5" s="135"/>
      <c r="D5" s="135"/>
      <c r="E5" s="135"/>
      <c r="F5" s="135"/>
      <c r="G5" s="135"/>
      <c r="H5" s="135"/>
      <c r="I5" s="135"/>
      <c r="J5" s="135"/>
      <c r="K5" s="135"/>
      <c r="L5" s="135"/>
      <c r="M5" s="135"/>
      <c r="N5" s="135"/>
      <c r="O5" s="135"/>
      <c r="P5" s="135"/>
      <c r="Q5" s="135"/>
      <c r="R5" s="135"/>
      <c r="S5" s="135"/>
      <c r="T5" s="135"/>
      <c r="U5" s="135"/>
      <c r="V5" s="135"/>
      <c r="W5" s="135"/>
      <c r="X5" s="135"/>
      <c r="Y5" s="135"/>
      <c r="Z5" s="135"/>
      <c r="AA5" s="135"/>
      <c r="AB5" s="135"/>
      <c r="AC5" s="135"/>
      <c r="AD5" s="149" t="s">
        <v>140</v>
      </c>
      <c r="AE5" s="149"/>
      <c r="AF5" s="149"/>
      <c r="AG5" s="149"/>
      <c r="AH5" s="149"/>
      <c r="AI5" s="136"/>
    </row>
    <row r="6" spans="1:35" x14ac:dyDescent="0.3">
      <c r="A6" s="134"/>
      <c r="B6" s="135"/>
      <c r="C6" s="135"/>
      <c r="D6" s="135"/>
      <c r="E6" s="135"/>
      <c r="F6" s="135"/>
      <c r="G6" s="135"/>
      <c r="H6" s="135"/>
      <c r="I6" s="135"/>
      <c r="J6" s="135"/>
      <c r="K6" s="135"/>
      <c r="L6" s="135"/>
      <c r="M6" s="135"/>
      <c r="N6" s="135"/>
      <c r="O6" s="135"/>
      <c r="P6" s="135"/>
      <c r="Q6" s="135"/>
      <c r="R6" s="135"/>
      <c r="S6" s="135"/>
      <c r="T6" s="135"/>
      <c r="U6" s="135"/>
      <c r="V6" s="135"/>
      <c r="W6" s="135"/>
      <c r="X6" s="135"/>
      <c r="Y6" s="135"/>
      <c r="Z6" s="135"/>
      <c r="AA6" s="135"/>
      <c r="AB6" s="135"/>
      <c r="AC6" s="135"/>
      <c r="AD6" s="149"/>
      <c r="AE6" s="149"/>
      <c r="AF6" s="149"/>
      <c r="AG6" s="149"/>
      <c r="AH6" s="149"/>
      <c r="AI6" s="136"/>
    </row>
    <row r="7" spans="1:35" x14ac:dyDescent="0.3">
      <c r="A7" s="134"/>
      <c r="B7" s="135"/>
      <c r="C7" s="135"/>
      <c r="D7" s="135"/>
      <c r="E7" s="135"/>
      <c r="F7" s="135"/>
      <c r="G7" s="135"/>
      <c r="H7" s="135"/>
      <c r="I7" s="135"/>
      <c r="J7" s="135"/>
      <c r="K7" s="135"/>
      <c r="L7" s="135"/>
      <c r="M7" s="135"/>
      <c r="N7" s="135"/>
      <c r="O7" s="135"/>
      <c r="P7" s="135"/>
      <c r="Q7" s="135"/>
      <c r="R7" s="135"/>
      <c r="S7" s="135"/>
      <c r="T7" s="135"/>
      <c r="U7" s="135"/>
      <c r="V7" s="135"/>
      <c r="W7" s="135"/>
      <c r="X7" s="135"/>
      <c r="Y7" s="135"/>
      <c r="Z7" s="135"/>
      <c r="AA7" s="135"/>
      <c r="AB7" s="135"/>
      <c r="AC7" s="135"/>
      <c r="AD7" s="149"/>
      <c r="AE7" s="149"/>
      <c r="AF7" s="149"/>
      <c r="AG7" s="149"/>
      <c r="AH7" s="149"/>
      <c r="AI7" s="136"/>
    </row>
    <row r="8" spans="1:35" x14ac:dyDescent="0.3">
      <c r="A8" s="134"/>
      <c r="B8" s="135"/>
      <c r="C8" s="135"/>
      <c r="D8" s="135"/>
      <c r="E8" s="135"/>
      <c r="F8" s="135"/>
      <c r="G8" s="135"/>
      <c r="H8" s="135"/>
      <c r="I8" s="135"/>
      <c r="J8" s="135"/>
      <c r="K8" s="135"/>
      <c r="L8" s="135"/>
      <c r="M8" s="135"/>
      <c r="N8" s="135"/>
      <c r="O8" s="135"/>
      <c r="P8" s="135"/>
      <c r="Q8" s="135"/>
      <c r="R8" s="135"/>
      <c r="S8" s="135"/>
      <c r="T8" s="135"/>
      <c r="U8" s="135"/>
      <c r="V8" s="135"/>
      <c r="W8" s="135"/>
      <c r="X8" s="135"/>
      <c r="Y8" s="135"/>
      <c r="Z8" s="135"/>
      <c r="AA8" s="135"/>
      <c r="AB8" s="135"/>
      <c r="AC8" s="135"/>
      <c r="AD8" s="149"/>
      <c r="AE8" s="149"/>
      <c r="AF8" s="149"/>
      <c r="AG8" s="149"/>
      <c r="AH8" s="149"/>
      <c r="AI8" s="136"/>
    </row>
    <row r="9" spans="1:35" x14ac:dyDescent="0.3">
      <c r="A9" s="134"/>
      <c r="B9" s="135"/>
      <c r="C9" s="135"/>
      <c r="D9" s="135"/>
      <c r="E9" s="135"/>
      <c r="F9" s="135"/>
      <c r="G9" s="135"/>
      <c r="H9" s="135"/>
      <c r="I9" s="135"/>
      <c r="J9" s="135"/>
      <c r="K9" s="135"/>
      <c r="L9" s="135"/>
      <c r="M9" s="135"/>
      <c r="N9" s="135"/>
      <c r="O9" s="135"/>
      <c r="P9" s="135"/>
      <c r="Q9" s="135"/>
      <c r="R9" s="135"/>
      <c r="S9" s="135"/>
      <c r="T9" s="135"/>
      <c r="U9" s="135"/>
      <c r="V9" s="135"/>
      <c r="W9" s="135"/>
      <c r="X9" s="135"/>
      <c r="Y9" s="135"/>
      <c r="Z9" s="135"/>
      <c r="AA9" s="135"/>
      <c r="AB9" s="135"/>
      <c r="AC9" s="135"/>
      <c r="AD9" s="149"/>
      <c r="AE9" s="149"/>
      <c r="AF9" s="149"/>
      <c r="AG9" s="149"/>
      <c r="AH9" s="149"/>
      <c r="AI9" s="136"/>
    </row>
    <row r="10" spans="1:35" x14ac:dyDescent="0.3">
      <c r="A10" s="134"/>
      <c r="B10" s="135"/>
      <c r="C10" s="135"/>
      <c r="D10" s="135"/>
      <c r="E10" s="135"/>
      <c r="F10" s="135"/>
      <c r="G10" s="135"/>
      <c r="H10" s="135"/>
      <c r="I10" s="135"/>
      <c r="J10" s="135"/>
      <c r="K10" s="135"/>
      <c r="L10" s="135"/>
      <c r="M10" s="135"/>
      <c r="N10" s="135"/>
      <c r="O10" s="135"/>
      <c r="P10" s="135"/>
      <c r="Q10" s="135"/>
      <c r="R10" s="135"/>
      <c r="S10" s="135"/>
      <c r="T10" s="135"/>
      <c r="U10" s="135"/>
      <c r="V10" s="135"/>
      <c r="W10" s="135"/>
      <c r="X10" s="135"/>
      <c r="Y10" s="135"/>
      <c r="Z10" s="135"/>
      <c r="AA10" s="135"/>
      <c r="AB10" s="135"/>
      <c r="AC10" s="135"/>
      <c r="AD10" s="149"/>
      <c r="AE10" s="149"/>
      <c r="AF10" s="149"/>
      <c r="AG10" s="149"/>
      <c r="AH10" s="149"/>
      <c r="AI10" s="136"/>
    </row>
    <row r="11" spans="1:35" x14ac:dyDescent="0.3">
      <c r="A11" s="134"/>
      <c r="B11" s="135"/>
      <c r="C11" s="135"/>
      <c r="D11" s="135"/>
      <c r="E11" s="135"/>
      <c r="F11" s="135"/>
      <c r="G11" s="135"/>
      <c r="H11" s="135"/>
      <c r="I11" s="135"/>
      <c r="J11" s="135"/>
      <c r="K11" s="135"/>
      <c r="L11" s="135"/>
      <c r="M11" s="135"/>
      <c r="N11" s="135"/>
      <c r="O11" s="135"/>
      <c r="P11" s="135"/>
      <c r="Q11" s="135"/>
      <c r="R11" s="135"/>
      <c r="S11" s="135"/>
      <c r="T11" s="135"/>
      <c r="U11" s="135"/>
      <c r="V11" s="135"/>
      <c r="W11" s="135"/>
      <c r="X11" s="135"/>
      <c r="Y11" s="135"/>
      <c r="Z11" s="135"/>
      <c r="AA11" s="135"/>
      <c r="AB11" s="135"/>
      <c r="AC11" s="135"/>
      <c r="AD11" s="149"/>
      <c r="AE11" s="149"/>
      <c r="AF11" s="149"/>
      <c r="AG11" s="149"/>
      <c r="AH11" s="149"/>
      <c r="AI11" s="136"/>
    </row>
    <row r="12" spans="1:35" x14ac:dyDescent="0.3">
      <c r="A12" s="134"/>
      <c r="B12" s="135"/>
      <c r="C12" s="135"/>
      <c r="D12" s="135"/>
      <c r="E12" s="135"/>
      <c r="F12" s="135"/>
      <c r="G12" s="135"/>
      <c r="H12" s="135"/>
      <c r="I12" s="135"/>
      <c r="J12" s="135"/>
      <c r="K12" s="135"/>
      <c r="L12" s="135"/>
      <c r="M12" s="135"/>
      <c r="N12" s="135"/>
      <c r="O12" s="135"/>
      <c r="P12" s="135"/>
      <c r="Q12" s="135"/>
      <c r="R12" s="135"/>
      <c r="S12" s="135"/>
      <c r="T12" s="135"/>
      <c r="U12" s="135"/>
      <c r="V12" s="135"/>
      <c r="W12" s="135"/>
      <c r="X12" s="135"/>
      <c r="Y12" s="135"/>
      <c r="Z12" s="135"/>
      <c r="AA12" s="135"/>
      <c r="AB12" s="135"/>
      <c r="AC12" s="135"/>
      <c r="AD12" s="135"/>
      <c r="AE12" s="135"/>
      <c r="AF12" s="135"/>
      <c r="AG12" s="135"/>
      <c r="AH12" s="135"/>
      <c r="AI12" s="136"/>
    </row>
    <row r="13" spans="1:35" x14ac:dyDescent="0.3">
      <c r="A13" s="134"/>
      <c r="B13" s="135"/>
      <c r="C13" s="135"/>
      <c r="D13" s="135"/>
      <c r="E13" s="135"/>
      <c r="F13" s="135"/>
      <c r="G13" s="135"/>
      <c r="H13" s="135"/>
      <c r="I13" s="135"/>
      <c r="J13" s="135"/>
      <c r="K13" s="135"/>
      <c r="L13" s="135"/>
      <c r="M13" s="135"/>
      <c r="N13" s="135"/>
      <c r="O13" s="135"/>
      <c r="P13" s="135"/>
      <c r="Q13" s="135"/>
      <c r="R13" s="135"/>
      <c r="S13" s="135"/>
      <c r="T13" s="135"/>
      <c r="U13" s="135"/>
      <c r="V13" s="135"/>
      <c r="W13" s="135"/>
      <c r="X13" s="135"/>
      <c r="Y13" s="135"/>
      <c r="Z13" s="135"/>
      <c r="AA13" s="135"/>
      <c r="AB13" s="135"/>
      <c r="AC13" s="135"/>
      <c r="AD13" s="135"/>
      <c r="AE13" s="135"/>
      <c r="AF13" s="135"/>
      <c r="AG13" s="135"/>
      <c r="AH13" s="135"/>
      <c r="AI13" s="136"/>
    </row>
    <row r="14" spans="1:35" x14ac:dyDescent="0.3">
      <c r="A14" s="134"/>
      <c r="B14" s="135"/>
      <c r="C14" s="135"/>
      <c r="D14" s="135"/>
      <c r="E14" s="135"/>
      <c r="F14" s="135"/>
      <c r="G14" s="135"/>
      <c r="H14" s="135"/>
      <c r="I14" s="135"/>
      <c r="J14" s="135"/>
      <c r="K14" s="135"/>
      <c r="L14" s="135"/>
      <c r="M14" s="135"/>
      <c r="N14" s="135"/>
      <c r="O14" s="135"/>
      <c r="P14" s="135"/>
      <c r="Q14" s="135"/>
      <c r="R14" s="135"/>
      <c r="S14" s="135"/>
      <c r="T14" s="135"/>
      <c r="U14" s="135"/>
      <c r="V14" s="135"/>
      <c r="W14" s="135"/>
      <c r="X14" s="135"/>
      <c r="Y14" s="135"/>
      <c r="Z14" s="135"/>
      <c r="AA14" s="135"/>
      <c r="AB14" s="135"/>
      <c r="AC14" s="135"/>
      <c r="AD14" s="135"/>
      <c r="AE14" s="135"/>
      <c r="AF14" s="135"/>
      <c r="AG14" s="135"/>
      <c r="AH14" s="135"/>
      <c r="AI14" s="136"/>
    </row>
    <row r="15" spans="1:35" x14ac:dyDescent="0.3">
      <c r="A15" s="134"/>
      <c r="B15" s="135"/>
      <c r="C15" s="135"/>
      <c r="D15" s="135"/>
      <c r="E15" s="135"/>
      <c r="F15" s="135"/>
      <c r="G15" s="135"/>
      <c r="H15" s="135"/>
      <c r="I15" s="135"/>
      <c r="J15" s="135"/>
      <c r="K15" s="135"/>
      <c r="L15" s="135"/>
      <c r="M15" s="135"/>
      <c r="N15" s="135"/>
      <c r="O15" s="135"/>
      <c r="P15" s="135"/>
      <c r="Q15" s="135"/>
      <c r="R15" s="135"/>
      <c r="S15" s="135"/>
      <c r="T15" s="135"/>
      <c r="U15" s="135"/>
      <c r="V15" s="135"/>
      <c r="W15" s="135"/>
      <c r="X15" s="135"/>
      <c r="Y15" s="135"/>
      <c r="Z15" s="135"/>
      <c r="AA15" s="135"/>
      <c r="AB15" s="135"/>
      <c r="AC15" s="135"/>
      <c r="AD15" s="135"/>
      <c r="AE15" s="135"/>
      <c r="AF15" s="135"/>
      <c r="AG15" s="135"/>
      <c r="AH15" s="135"/>
      <c r="AI15" s="136"/>
    </row>
    <row r="16" spans="1:35" ht="16.2" thickBot="1" x14ac:dyDescent="0.35">
      <c r="A16" s="137"/>
      <c r="B16" s="138"/>
      <c r="C16" s="138"/>
      <c r="D16" s="138"/>
      <c r="E16" s="138"/>
      <c r="F16" s="138"/>
      <c r="G16" s="138"/>
      <c r="H16" s="138"/>
      <c r="I16" s="138"/>
      <c r="J16" s="138"/>
      <c r="K16" s="138"/>
      <c r="L16" s="138"/>
      <c r="M16" s="138"/>
      <c r="N16" s="138"/>
      <c r="O16" s="138"/>
      <c r="P16" s="138"/>
      <c r="Q16" s="138"/>
      <c r="R16" s="138"/>
      <c r="S16" s="138"/>
      <c r="T16" s="138"/>
      <c r="U16" s="138"/>
      <c r="V16" s="138"/>
      <c r="W16" s="138"/>
      <c r="X16" s="138"/>
      <c r="Y16" s="138"/>
      <c r="Z16" s="138"/>
      <c r="AA16" s="138"/>
      <c r="AB16" s="138"/>
      <c r="AC16" s="138"/>
      <c r="AD16" s="138"/>
      <c r="AE16" s="138"/>
      <c r="AF16" s="138"/>
      <c r="AG16" s="138"/>
      <c r="AH16" s="138"/>
      <c r="AI16" s="139"/>
    </row>
    <row r="17" spans="1:35" x14ac:dyDescent="0.3">
      <c r="A17" s="131"/>
      <c r="B17" s="132"/>
      <c r="C17" s="132"/>
      <c r="D17" s="132"/>
      <c r="E17" s="132"/>
      <c r="F17" s="132"/>
      <c r="G17" s="132"/>
      <c r="H17" s="132"/>
      <c r="I17" s="132"/>
      <c r="J17" s="132"/>
      <c r="K17" s="132"/>
      <c r="L17" s="132"/>
      <c r="M17" s="132"/>
      <c r="N17" s="132"/>
      <c r="O17" s="132"/>
      <c r="P17" s="132"/>
      <c r="Q17" s="132"/>
      <c r="R17" s="132"/>
      <c r="S17" s="132"/>
      <c r="T17" s="132"/>
      <c r="U17" s="132"/>
      <c r="V17" s="132"/>
      <c r="W17" s="132"/>
      <c r="X17" s="132"/>
      <c r="Y17" s="132"/>
      <c r="Z17" s="132"/>
      <c r="AA17" s="132"/>
      <c r="AB17" s="132"/>
      <c r="AC17" s="132"/>
      <c r="AD17" s="132"/>
      <c r="AE17" s="132"/>
      <c r="AF17" s="132"/>
      <c r="AG17" s="132"/>
      <c r="AH17" s="132"/>
      <c r="AI17" s="133"/>
    </row>
    <row r="18" spans="1:35" x14ac:dyDescent="0.3">
      <c r="A18" s="134"/>
      <c r="B18" s="135"/>
      <c r="C18" s="135"/>
      <c r="D18" s="135"/>
      <c r="E18" s="135"/>
      <c r="F18" s="135"/>
      <c r="G18" s="135"/>
      <c r="H18" s="135"/>
      <c r="I18" s="135"/>
      <c r="J18" s="135"/>
      <c r="K18" s="135"/>
      <c r="L18" s="135"/>
      <c r="M18" s="135"/>
      <c r="N18" s="135"/>
      <c r="O18" s="135"/>
      <c r="P18" s="135"/>
      <c r="Q18" s="135"/>
      <c r="R18" s="135"/>
      <c r="S18" s="135"/>
      <c r="T18" s="135"/>
      <c r="U18" s="135"/>
      <c r="V18" s="135"/>
      <c r="W18" s="135"/>
      <c r="X18" s="135"/>
      <c r="Y18" s="135"/>
      <c r="Z18" s="135"/>
      <c r="AA18" s="135"/>
      <c r="AB18" s="135"/>
      <c r="AC18" s="135"/>
      <c r="AD18" s="135"/>
      <c r="AE18" s="135"/>
      <c r="AF18" s="135"/>
      <c r="AG18" s="135"/>
      <c r="AH18" s="135"/>
      <c r="AI18" s="136"/>
    </row>
    <row r="19" spans="1:35" x14ac:dyDescent="0.3">
      <c r="A19" s="134"/>
      <c r="B19" s="135"/>
      <c r="C19" s="135"/>
      <c r="D19" s="135"/>
      <c r="E19" s="135"/>
      <c r="F19" s="135"/>
      <c r="G19" s="135"/>
      <c r="H19" s="135"/>
      <c r="I19" s="135"/>
      <c r="J19" s="135"/>
      <c r="K19" s="135"/>
      <c r="L19" s="135"/>
      <c r="M19" s="135"/>
      <c r="N19" s="135"/>
      <c r="O19" s="135"/>
      <c r="P19" s="135"/>
      <c r="Q19" s="135"/>
      <c r="R19" s="135"/>
      <c r="S19" s="135"/>
      <c r="T19" s="135"/>
      <c r="U19" s="135"/>
      <c r="V19" s="135"/>
      <c r="W19" s="135"/>
      <c r="X19" s="135"/>
      <c r="Y19" s="135"/>
      <c r="Z19" s="135"/>
      <c r="AA19" s="135"/>
      <c r="AB19" s="135"/>
      <c r="AC19" s="135"/>
      <c r="AD19" s="135"/>
      <c r="AE19" s="135"/>
      <c r="AF19" s="135"/>
      <c r="AG19" s="135"/>
      <c r="AH19" s="135"/>
      <c r="AI19" s="136"/>
    </row>
    <row r="20" spans="1:35" x14ac:dyDescent="0.3">
      <c r="A20" s="134"/>
      <c r="B20" s="135"/>
      <c r="C20" s="135"/>
      <c r="D20" s="135"/>
      <c r="E20" s="135"/>
      <c r="F20" s="135"/>
      <c r="G20" s="135"/>
      <c r="H20" s="135"/>
      <c r="I20" s="135"/>
      <c r="J20" s="135"/>
      <c r="K20" s="135"/>
      <c r="L20" s="135"/>
      <c r="M20" s="135"/>
      <c r="N20" s="135"/>
      <c r="O20" s="135"/>
      <c r="P20" s="135"/>
      <c r="Q20" s="135"/>
      <c r="R20" s="135"/>
      <c r="S20" s="135"/>
      <c r="T20" s="135"/>
      <c r="U20" s="135"/>
      <c r="V20" s="135"/>
      <c r="W20" s="135"/>
      <c r="X20" s="135"/>
      <c r="Y20" s="135"/>
      <c r="Z20" s="135"/>
      <c r="AA20" s="135"/>
      <c r="AB20" s="135"/>
      <c r="AC20" s="135"/>
      <c r="AD20" s="135"/>
      <c r="AE20" s="135"/>
      <c r="AF20" s="135"/>
      <c r="AG20" s="135"/>
      <c r="AH20" s="135"/>
      <c r="AI20" s="136"/>
    </row>
    <row r="21" spans="1:35" x14ac:dyDescent="0.3">
      <c r="A21" s="134"/>
      <c r="B21" s="135"/>
      <c r="C21" s="135"/>
      <c r="D21" s="135"/>
      <c r="E21" s="135"/>
      <c r="F21" s="135"/>
      <c r="G21" s="135"/>
      <c r="H21" s="135"/>
      <c r="I21" s="135"/>
      <c r="J21" s="135"/>
      <c r="K21" s="135"/>
      <c r="L21" s="135"/>
      <c r="M21" s="135"/>
      <c r="N21" s="135"/>
      <c r="O21" s="135"/>
      <c r="P21" s="135"/>
      <c r="Q21" s="135"/>
      <c r="R21" s="135"/>
      <c r="S21" s="135"/>
      <c r="T21" s="135"/>
      <c r="U21" s="135"/>
      <c r="V21" s="135"/>
      <c r="W21" s="135"/>
      <c r="X21" s="135"/>
      <c r="Y21" s="135"/>
      <c r="Z21" s="135"/>
      <c r="AA21" s="135"/>
      <c r="AB21" s="135"/>
      <c r="AC21" s="135"/>
      <c r="AD21" s="149" t="s">
        <v>139</v>
      </c>
      <c r="AE21" s="149"/>
      <c r="AF21" s="149"/>
      <c r="AG21" s="149"/>
      <c r="AH21" s="149"/>
      <c r="AI21" s="136"/>
    </row>
    <row r="22" spans="1:35" x14ac:dyDescent="0.3">
      <c r="A22" s="134"/>
      <c r="B22" s="135"/>
      <c r="C22" s="135"/>
      <c r="D22" s="135"/>
      <c r="E22" s="135"/>
      <c r="F22" s="135"/>
      <c r="G22" s="135"/>
      <c r="H22" s="135"/>
      <c r="I22" s="135"/>
      <c r="J22" s="135"/>
      <c r="K22" s="135"/>
      <c r="L22" s="135"/>
      <c r="M22" s="135"/>
      <c r="N22" s="135"/>
      <c r="O22" s="135"/>
      <c r="P22" s="135"/>
      <c r="Q22" s="135"/>
      <c r="R22" s="135"/>
      <c r="S22" s="135"/>
      <c r="T22" s="135"/>
      <c r="U22" s="135"/>
      <c r="V22" s="135"/>
      <c r="W22" s="135"/>
      <c r="X22" s="135"/>
      <c r="Y22" s="135"/>
      <c r="Z22" s="135"/>
      <c r="AA22" s="135"/>
      <c r="AB22" s="135"/>
      <c r="AC22" s="135"/>
      <c r="AD22" s="149"/>
      <c r="AE22" s="149"/>
      <c r="AF22" s="149"/>
      <c r="AG22" s="149"/>
      <c r="AH22" s="149"/>
      <c r="AI22" s="136"/>
    </row>
    <row r="23" spans="1:35" x14ac:dyDescent="0.3">
      <c r="A23" s="134"/>
      <c r="B23" s="135"/>
      <c r="C23" s="135"/>
      <c r="D23" s="135"/>
      <c r="E23" s="135"/>
      <c r="F23" s="135"/>
      <c r="G23" s="135"/>
      <c r="H23" s="135"/>
      <c r="I23" s="135"/>
      <c r="J23" s="135"/>
      <c r="K23" s="135"/>
      <c r="L23" s="135"/>
      <c r="M23" s="135"/>
      <c r="N23" s="135"/>
      <c r="O23" s="135"/>
      <c r="P23" s="135"/>
      <c r="Q23" s="135"/>
      <c r="R23" s="135"/>
      <c r="S23" s="135"/>
      <c r="T23" s="135"/>
      <c r="U23" s="135"/>
      <c r="V23" s="135"/>
      <c r="W23" s="135"/>
      <c r="X23" s="135"/>
      <c r="Y23" s="135"/>
      <c r="Z23" s="135"/>
      <c r="AA23" s="135"/>
      <c r="AB23" s="135"/>
      <c r="AC23" s="135"/>
      <c r="AD23" s="149"/>
      <c r="AE23" s="149"/>
      <c r="AF23" s="149"/>
      <c r="AG23" s="149"/>
      <c r="AH23" s="149"/>
      <c r="AI23" s="136"/>
    </row>
    <row r="24" spans="1:35" x14ac:dyDescent="0.3">
      <c r="A24" s="134"/>
      <c r="B24" s="135"/>
      <c r="C24" s="135"/>
      <c r="D24" s="135"/>
      <c r="E24" s="135"/>
      <c r="F24" s="135"/>
      <c r="G24" s="135"/>
      <c r="H24" s="135"/>
      <c r="I24" s="135"/>
      <c r="J24" s="135"/>
      <c r="K24" s="135"/>
      <c r="L24" s="135"/>
      <c r="M24" s="135"/>
      <c r="N24" s="135"/>
      <c r="O24" s="135"/>
      <c r="P24" s="135"/>
      <c r="Q24" s="135"/>
      <c r="R24" s="135"/>
      <c r="S24" s="135"/>
      <c r="T24" s="135"/>
      <c r="U24" s="135"/>
      <c r="V24" s="135"/>
      <c r="W24" s="135"/>
      <c r="X24" s="135"/>
      <c r="Y24" s="135"/>
      <c r="Z24" s="135"/>
      <c r="AA24" s="135"/>
      <c r="AB24" s="135"/>
      <c r="AC24" s="135"/>
      <c r="AD24" s="149"/>
      <c r="AE24" s="149"/>
      <c r="AF24" s="149"/>
      <c r="AG24" s="149"/>
      <c r="AH24" s="149"/>
      <c r="AI24" s="136"/>
    </row>
    <row r="25" spans="1:35" x14ac:dyDescent="0.3">
      <c r="A25" s="134"/>
      <c r="B25" s="135"/>
      <c r="C25" s="135"/>
      <c r="D25" s="135"/>
      <c r="E25" s="135"/>
      <c r="F25" s="135"/>
      <c r="G25" s="135"/>
      <c r="H25" s="135"/>
      <c r="I25" s="135"/>
      <c r="J25" s="135"/>
      <c r="K25" s="135"/>
      <c r="L25" s="135"/>
      <c r="M25" s="135"/>
      <c r="N25" s="135"/>
      <c r="O25" s="135"/>
      <c r="P25" s="135"/>
      <c r="Q25" s="135"/>
      <c r="R25" s="135"/>
      <c r="S25" s="135"/>
      <c r="T25" s="135"/>
      <c r="U25" s="135"/>
      <c r="V25" s="135"/>
      <c r="W25" s="135"/>
      <c r="X25" s="135"/>
      <c r="Y25" s="135"/>
      <c r="Z25" s="135"/>
      <c r="AA25" s="135"/>
      <c r="AB25" s="135"/>
      <c r="AC25" s="135"/>
      <c r="AD25" s="149"/>
      <c r="AE25" s="149"/>
      <c r="AF25" s="149"/>
      <c r="AG25" s="149"/>
      <c r="AH25" s="149"/>
      <c r="AI25" s="136"/>
    </row>
    <row r="26" spans="1:35" x14ac:dyDescent="0.3">
      <c r="A26" s="134"/>
      <c r="B26" s="135"/>
      <c r="C26" s="135"/>
      <c r="D26" s="135"/>
      <c r="E26" s="135"/>
      <c r="F26" s="135"/>
      <c r="G26" s="135"/>
      <c r="H26" s="135"/>
      <c r="I26" s="135"/>
      <c r="J26" s="135"/>
      <c r="K26" s="135"/>
      <c r="L26" s="135"/>
      <c r="M26" s="135"/>
      <c r="N26" s="135"/>
      <c r="O26" s="135"/>
      <c r="P26" s="135"/>
      <c r="Q26" s="135"/>
      <c r="R26" s="135"/>
      <c r="S26" s="135"/>
      <c r="T26" s="135"/>
      <c r="U26" s="135"/>
      <c r="V26" s="135"/>
      <c r="W26" s="135"/>
      <c r="X26" s="135"/>
      <c r="Y26" s="135"/>
      <c r="Z26" s="135"/>
      <c r="AA26" s="135"/>
      <c r="AB26" s="135"/>
      <c r="AC26" s="135"/>
      <c r="AD26" s="149"/>
      <c r="AE26" s="149"/>
      <c r="AF26" s="149"/>
      <c r="AG26" s="149"/>
      <c r="AH26" s="149"/>
      <c r="AI26" s="136"/>
    </row>
    <row r="27" spans="1:35" x14ac:dyDescent="0.3">
      <c r="A27" s="134"/>
      <c r="B27" s="135"/>
      <c r="C27" s="135"/>
      <c r="D27" s="135"/>
      <c r="E27" s="135"/>
      <c r="F27" s="135"/>
      <c r="G27" s="135"/>
      <c r="H27" s="135"/>
      <c r="I27" s="135"/>
      <c r="J27" s="135"/>
      <c r="K27" s="135"/>
      <c r="L27" s="135"/>
      <c r="M27" s="135"/>
      <c r="N27" s="135"/>
      <c r="O27" s="135"/>
      <c r="P27" s="135"/>
      <c r="Q27" s="135"/>
      <c r="R27" s="135"/>
      <c r="S27" s="135"/>
      <c r="T27" s="135"/>
      <c r="U27" s="135"/>
      <c r="V27" s="135"/>
      <c r="W27" s="135"/>
      <c r="X27" s="135"/>
      <c r="Y27" s="135"/>
      <c r="Z27" s="135"/>
      <c r="AA27" s="135"/>
      <c r="AB27" s="135"/>
      <c r="AC27" s="135"/>
      <c r="AD27" s="149"/>
      <c r="AE27" s="149"/>
      <c r="AF27" s="149"/>
      <c r="AG27" s="149"/>
      <c r="AH27" s="149"/>
      <c r="AI27" s="136"/>
    </row>
    <row r="28" spans="1:35" x14ac:dyDescent="0.3">
      <c r="A28" s="134"/>
      <c r="B28" s="135"/>
      <c r="C28" s="135"/>
      <c r="D28" s="135"/>
      <c r="E28" s="135"/>
      <c r="F28" s="135"/>
      <c r="G28" s="135"/>
      <c r="H28" s="135"/>
      <c r="I28" s="135"/>
      <c r="J28" s="135"/>
      <c r="K28" s="135"/>
      <c r="L28" s="135"/>
      <c r="M28" s="135"/>
      <c r="N28" s="135"/>
      <c r="O28" s="135"/>
      <c r="P28" s="135"/>
      <c r="Q28" s="135"/>
      <c r="R28" s="135"/>
      <c r="S28" s="135"/>
      <c r="T28" s="135"/>
      <c r="U28" s="135"/>
      <c r="V28" s="135"/>
      <c r="W28" s="135"/>
      <c r="X28" s="135"/>
      <c r="Y28" s="135"/>
      <c r="Z28" s="135"/>
      <c r="AA28" s="135"/>
      <c r="AB28" s="135"/>
      <c r="AC28" s="135"/>
      <c r="AD28" s="135"/>
      <c r="AE28" s="135"/>
      <c r="AF28" s="135"/>
      <c r="AG28" s="135"/>
      <c r="AH28" s="135"/>
      <c r="AI28" s="136"/>
    </row>
    <row r="29" spans="1:35" x14ac:dyDescent="0.3">
      <c r="A29" s="134"/>
      <c r="B29" s="135"/>
      <c r="C29" s="135"/>
      <c r="D29" s="135"/>
      <c r="E29" s="135"/>
      <c r="F29" s="135"/>
      <c r="G29" s="135"/>
      <c r="H29" s="135"/>
      <c r="I29" s="135"/>
      <c r="J29" s="135"/>
      <c r="K29" s="135"/>
      <c r="L29" s="135"/>
      <c r="M29" s="135"/>
      <c r="N29" s="135"/>
      <c r="O29" s="135"/>
      <c r="P29" s="135"/>
      <c r="Q29" s="135"/>
      <c r="R29" s="135"/>
      <c r="S29" s="135"/>
      <c r="T29" s="135"/>
      <c r="U29" s="135"/>
      <c r="V29" s="135"/>
      <c r="W29" s="135"/>
      <c r="X29" s="135"/>
      <c r="Y29" s="135"/>
      <c r="Z29" s="135"/>
      <c r="AA29" s="135"/>
      <c r="AB29" s="135"/>
      <c r="AC29" s="135"/>
      <c r="AD29" s="135"/>
      <c r="AE29" s="135"/>
      <c r="AF29" s="135"/>
      <c r="AG29" s="135"/>
      <c r="AH29" s="135"/>
      <c r="AI29" s="136"/>
    </row>
    <row r="30" spans="1:35" x14ac:dyDescent="0.3">
      <c r="A30" s="134"/>
      <c r="B30" s="135"/>
      <c r="C30" s="135"/>
      <c r="D30" s="135"/>
      <c r="E30" s="135"/>
      <c r="F30" s="135"/>
      <c r="G30" s="135"/>
      <c r="H30" s="135"/>
      <c r="I30" s="135"/>
      <c r="J30" s="135"/>
      <c r="K30" s="135"/>
      <c r="L30" s="135"/>
      <c r="M30" s="135"/>
      <c r="N30" s="135"/>
      <c r="O30" s="135"/>
      <c r="P30" s="135"/>
      <c r="Q30" s="135"/>
      <c r="R30" s="135"/>
      <c r="S30" s="135"/>
      <c r="T30" s="135"/>
      <c r="U30" s="135"/>
      <c r="V30" s="135"/>
      <c r="W30" s="135"/>
      <c r="X30" s="135"/>
      <c r="Y30" s="135"/>
      <c r="Z30" s="135"/>
      <c r="AA30" s="135"/>
      <c r="AB30" s="135"/>
      <c r="AC30" s="135"/>
      <c r="AD30" s="135"/>
      <c r="AE30" s="135"/>
      <c r="AF30" s="135"/>
      <c r="AG30" s="135"/>
      <c r="AH30" s="135"/>
      <c r="AI30" s="136"/>
    </row>
    <row r="31" spans="1:35" x14ac:dyDescent="0.3">
      <c r="A31" s="134"/>
      <c r="B31" s="135"/>
      <c r="C31" s="135"/>
      <c r="D31" s="135"/>
      <c r="E31" s="135"/>
      <c r="F31" s="135"/>
      <c r="G31" s="135"/>
      <c r="H31" s="135"/>
      <c r="I31" s="135"/>
      <c r="J31" s="135"/>
      <c r="K31" s="135"/>
      <c r="L31" s="135"/>
      <c r="M31" s="135"/>
      <c r="N31" s="135"/>
      <c r="O31" s="135"/>
      <c r="P31" s="135"/>
      <c r="Q31" s="135"/>
      <c r="R31" s="135"/>
      <c r="S31" s="135"/>
      <c r="T31" s="135"/>
      <c r="U31" s="135"/>
      <c r="V31" s="135"/>
      <c r="W31" s="135"/>
      <c r="X31" s="135"/>
      <c r="Y31" s="135"/>
      <c r="Z31" s="135"/>
      <c r="AA31" s="135"/>
      <c r="AB31" s="135"/>
      <c r="AC31" s="135"/>
      <c r="AD31" s="135"/>
      <c r="AE31" s="135"/>
      <c r="AF31" s="135"/>
      <c r="AG31" s="135"/>
      <c r="AH31" s="135"/>
      <c r="AI31" s="136"/>
    </row>
    <row r="32" spans="1:35" ht="16.2" thickBot="1" x14ac:dyDescent="0.35">
      <c r="A32" s="137"/>
      <c r="B32" s="138"/>
      <c r="C32" s="138"/>
      <c r="D32" s="138"/>
      <c r="E32" s="138"/>
      <c r="F32" s="138"/>
      <c r="G32" s="138"/>
      <c r="H32" s="138"/>
      <c r="I32" s="138"/>
      <c r="J32" s="138"/>
      <c r="K32" s="138"/>
      <c r="L32" s="138"/>
      <c r="M32" s="138"/>
      <c r="N32" s="138"/>
      <c r="O32" s="138"/>
      <c r="P32" s="138"/>
      <c r="Q32" s="138"/>
      <c r="R32" s="138"/>
      <c r="S32" s="138"/>
      <c r="T32" s="138"/>
      <c r="U32" s="138"/>
      <c r="V32" s="138"/>
      <c r="W32" s="138"/>
      <c r="X32" s="138"/>
      <c r="Y32" s="138"/>
      <c r="Z32" s="138"/>
      <c r="AA32" s="138"/>
      <c r="AB32" s="138"/>
      <c r="AC32" s="138"/>
      <c r="AD32" s="138"/>
      <c r="AE32" s="138"/>
      <c r="AF32" s="138"/>
      <c r="AG32" s="138"/>
      <c r="AH32" s="138"/>
      <c r="AI32" s="139"/>
    </row>
    <row r="33" spans="1:35" x14ac:dyDescent="0.3">
      <c r="A33" s="131"/>
      <c r="B33" s="132"/>
      <c r="C33" s="132"/>
      <c r="D33" s="132"/>
      <c r="E33" s="132"/>
      <c r="F33" s="132"/>
      <c r="G33" s="132"/>
      <c r="H33" s="132"/>
      <c r="I33" s="132"/>
      <c r="J33" s="132"/>
      <c r="K33" s="132"/>
      <c r="L33" s="132"/>
      <c r="M33" s="132"/>
      <c r="N33" s="132"/>
      <c r="O33" s="132"/>
      <c r="P33" s="132"/>
      <c r="Q33" s="132"/>
      <c r="R33" s="132"/>
      <c r="S33" s="132"/>
      <c r="T33" s="132"/>
      <c r="U33" s="132"/>
      <c r="V33" s="132"/>
      <c r="W33" s="132"/>
      <c r="X33" s="132"/>
      <c r="Y33" s="132"/>
      <c r="Z33" s="132"/>
      <c r="AA33" s="132"/>
      <c r="AB33" s="132"/>
      <c r="AC33" s="132"/>
      <c r="AD33" s="132"/>
      <c r="AE33" s="132"/>
      <c r="AF33" s="132"/>
      <c r="AG33" s="132"/>
      <c r="AH33" s="132"/>
      <c r="AI33" s="133"/>
    </row>
    <row r="34" spans="1:35" x14ac:dyDescent="0.3">
      <c r="A34" s="134"/>
      <c r="B34" s="135"/>
      <c r="C34" s="135"/>
      <c r="D34" s="135"/>
      <c r="E34" s="135"/>
      <c r="F34" s="135"/>
      <c r="G34" s="135"/>
      <c r="H34" s="135"/>
      <c r="I34" s="135"/>
      <c r="J34" s="135"/>
      <c r="K34" s="135"/>
      <c r="L34" s="135"/>
      <c r="M34" s="135"/>
      <c r="N34" s="135"/>
      <c r="O34" s="135"/>
      <c r="P34" s="135"/>
      <c r="Q34" s="135"/>
      <c r="R34" s="135"/>
      <c r="S34" s="135"/>
      <c r="T34" s="135"/>
      <c r="U34" s="135"/>
      <c r="V34" s="135"/>
      <c r="W34" s="135"/>
      <c r="X34" s="135"/>
      <c r="Y34" s="135"/>
      <c r="Z34" s="135"/>
      <c r="AA34" s="135"/>
      <c r="AB34" s="135"/>
      <c r="AC34" s="135"/>
      <c r="AD34" s="135"/>
      <c r="AE34" s="135"/>
      <c r="AF34" s="135"/>
      <c r="AG34" s="135"/>
      <c r="AH34" s="135"/>
      <c r="AI34" s="136"/>
    </row>
    <row r="35" spans="1:35" x14ac:dyDescent="0.3">
      <c r="A35" s="134"/>
      <c r="B35" s="135"/>
      <c r="C35" s="135"/>
      <c r="D35" s="135"/>
      <c r="E35" s="135"/>
      <c r="F35" s="135"/>
      <c r="G35" s="135"/>
      <c r="H35" s="135"/>
      <c r="I35" s="135"/>
      <c r="J35" s="135"/>
      <c r="K35" s="135"/>
      <c r="L35" s="135"/>
      <c r="M35" s="135"/>
      <c r="N35" s="135"/>
      <c r="O35" s="135"/>
      <c r="P35" s="135"/>
      <c r="Q35" s="135"/>
      <c r="R35" s="135"/>
      <c r="S35" s="135"/>
      <c r="T35" s="135"/>
      <c r="U35" s="135"/>
      <c r="V35" s="135"/>
      <c r="W35" s="135"/>
      <c r="X35" s="135"/>
      <c r="Y35" s="135"/>
      <c r="Z35" s="135"/>
      <c r="AA35" s="135"/>
      <c r="AB35" s="135"/>
      <c r="AC35" s="135"/>
      <c r="AD35" s="135"/>
      <c r="AE35" s="135"/>
      <c r="AF35" s="135"/>
      <c r="AG35" s="135"/>
      <c r="AH35" s="135"/>
      <c r="AI35" s="136"/>
    </row>
    <row r="36" spans="1:35" x14ac:dyDescent="0.3">
      <c r="A36" s="134"/>
      <c r="B36" s="135"/>
      <c r="C36" s="135"/>
      <c r="D36" s="135"/>
      <c r="E36" s="135"/>
      <c r="F36" s="135"/>
      <c r="G36" s="135"/>
      <c r="H36" s="135"/>
      <c r="I36" s="135"/>
      <c r="J36" s="135"/>
      <c r="K36" s="135"/>
      <c r="L36" s="135"/>
      <c r="M36" s="135"/>
      <c r="N36" s="135"/>
      <c r="O36" s="135"/>
      <c r="P36" s="135"/>
      <c r="Q36" s="135"/>
      <c r="R36" s="135"/>
      <c r="S36" s="135"/>
      <c r="T36" s="135"/>
      <c r="U36" s="135"/>
      <c r="V36" s="135"/>
      <c r="W36" s="135"/>
      <c r="X36" s="135"/>
      <c r="Y36" s="135"/>
      <c r="Z36" s="135"/>
      <c r="AA36" s="135"/>
      <c r="AB36" s="135"/>
      <c r="AC36" s="135"/>
      <c r="AD36" s="149" t="s">
        <v>138</v>
      </c>
      <c r="AE36" s="149"/>
      <c r="AF36" s="149"/>
      <c r="AG36" s="149"/>
      <c r="AH36" s="149"/>
      <c r="AI36" s="136"/>
    </row>
    <row r="37" spans="1:35" x14ac:dyDescent="0.3">
      <c r="A37" s="134"/>
      <c r="B37" s="135"/>
      <c r="C37" s="135"/>
      <c r="D37" s="135"/>
      <c r="E37" s="135"/>
      <c r="F37" s="135"/>
      <c r="G37" s="135"/>
      <c r="H37" s="135"/>
      <c r="I37" s="135"/>
      <c r="J37" s="135"/>
      <c r="K37" s="135"/>
      <c r="L37" s="135"/>
      <c r="M37" s="135"/>
      <c r="N37" s="135"/>
      <c r="O37" s="135"/>
      <c r="P37" s="135"/>
      <c r="Q37" s="135"/>
      <c r="R37" s="135"/>
      <c r="S37" s="135"/>
      <c r="T37" s="135"/>
      <c r="U37" s="135"/>
      <c r="V37" s="135"/>
      <c r="W37" s="135"/>
      <c r="X37" s="135"/>
      <c r="Y37" s="135"/>
      <c r="Z37" s="135"/>
      <c r="AA37" s="135"/>
      <c r="AB37" s="135"/>
      <c r="AC37" s="135"/>
      <c r="AD37" s="149"/>
      <c r="AE37" s="149"/>
      <c r="AF37" s="149"/>
      <c r="AG37" s="149"/>
      <c r="AH37" s="149"/>
      <c r="AI37" s="136"/>
    </row>
    <row r="38" spans="1:35" x14ac:dyDescent="0.3">
      <c r="A38" s="134"/>
      <c r="B38" s="135"/>
      <c r="C38" s="135"/>
      <c r="D38" s="135"/>
      <c r="E38" s="135"/>
      <c r="F38" s="135"/>
      <c r="G38" s="135"/>
      <c r="H38" s="135"/>
      <c r="I38" s="135"/>
      <c r="J38" s="135"/>
      <c r="K38" s="135"/>
      <c r="L38" s="135"/>
      <c r="M38" s="135"/>
      <c r="N38" s="135"/>
      <c r="O38" s="135"/>
      <c r="P38" s="135"/>
      <c r="Q38" s="135"/>
      <c r="R38" s="135"/>
      <c r="S38" s="135"/>
      <c r="T38" s="135"/>
      <c r="U38" s="135"/>
      <c r="V38" s="135"/>
      <c r="W38" s="135"/>
      <c r="X38" s="135"/>
      <c r="Y38" s="135"/>
      <c r="Z38" s="135"/>
      <c r="AA38" s="135"/>
      <c r="AB38" s="135"/>
      <c r="AC38" s="135"/>
      <c r="AD38" s="149"/>
      <c r="AE38" s="149"/>
      <c r="AF38" s="149"/>
      <c r="AG38" s="149"/>
      <c r="AH38" s="149"/>
      <c r="AI38" s="136"/>
    </row>
    <row r="39" spans="1:35" x14ac:dyDescent="0.3">
      <c r="A39" s="134"/>
      <c r="B39" s="135"/>
      <c r="C39" s="135"/>
      <c r="D39" s="135"/>
      <c r="E39" s="135"/>
      <c r="F39" s="135"/>
      <c r="G39" s="135"/>
      <c r="H39" s="135"/>
      <c r="I39" s="135"/>
      <c r="J39" s="135"/>
      <c r="K39" s="135"/>
      <c r="L39" s="135"/>
      <c r="M39" s="135"/>
      <c r="N39" s="135"/>
      <c r="O39" s="135"/>
      <c r="P39" s="135"/>
      <c r="Q39" s="135"/>
      <c r="R39" s="135"/>
      <c r="S39" s="135"/>
      <c r="T39" s="135"/>
      <c r="U39" s="135"/>
      <c r="V39" s="135"/>
      <c r="W39" s="135"/>
      <c r="X39" s="135"/>
      <c r="Y39" s="135"/>
      <c r="Z39" s="135"/>
      <c r="AA39" s="135"/>
      <c r="AB39" s="135"/>
      <c r="AC39" s="135"/>
      <c r="AD39" s="149"/>
      <c r="AE39" s="149"/>
      <c r="AF39" s="149"/>
      <c r="AG39" s="149"/>
      <c r="AH39" s="149"/>
      <c r="AI39" s="136"/>
    </row>
    <row r="40" spans="1:35" x14ac:dyDescent="0.3">
      <c r="A40" s="134"/>
      <c r="B40" s="135"/>
      <c r="C40" s="135"/>
      <c r="D40" s="135"/>
      <c r="E40" s="135"/>
      <c r="F40" s="135"/>
      <c r="G40" s="135"/>
      <c r="H40" s="135"/>
      <c r="I40" s="135"/>
      <c r="J40" s="135"/>
      <c r="K40" s="135"/>
      <c r="L40" s="135"/>
      <c r="M40" s="135"/>
      <c r="N40" s="135"/>
      <c r="O40" s="135"/>
      <c r="P40" s="135"/>
      <c r="Q40" s="135"/>
      <c r="R40" s="135"/>
      <c r="S40" s="135"/>
      <c r="T40" s="135"/>
      <c r="U40" s="135"/>
      <c r="V40" s="135"/>
      <c r="W40" s="135"/>
      <c r="X40" s="135"/>
      <c r="Y40" s="135"/>
      <c r="Z40" s="135"/>
      <c r="AA40" s="135"/>
      <c r="AB40" s="135"/>
      <c r="AC40" s="135"/>
      <c r="AD40" s="149"/>
      <c r="AE40" s="149"/>
      <c r="AF40" s="149"/>
      <c r="AG40" s="149"/>
      <c r="AH40" s="149"/>
      <c r="AI40" s="136"/>
    </row>
    <row r="41" spans="1:35" x14ac:dyDescent="0.3">
      <c r="A41" s="134"/>
      <c r="B41" s="135"/>
      <c r="C41" s="135"/>
      <c r="D41" s="135"/>
      <c r="E41" s="135"/>
      <c r="F41" s="135"/>
      <c r="G41" s="135"/>
      <c r="H41" s="135"/>
      <c r="I41" s="135"/>
      <c r="J41" s="135"/>
      <c r="K41" s="135"/>
      <c r="L41" s="135"/>
      <c r="M41" s="135"/>
      <c r="N41" s="135"/>
      <c r="O41" s="135"/>
      <c r="P41" s="135"/>
      <c r="Q41" s="135"/>
      <c r="R41" s="135"/>
      <c r="S41" s="135"/>
      <c r="T41" s="135"/>
      <c r="U41" s="135"/>
      <c r="V41" s="135"/>
      <c r="W41" s="135"/>
      <c r="X41" s="135"/>
      <c r="Y41" s="135"/>
      <c r="Z41" s="135"/>
      <c r="AA41" s="135"/>
      <c r="AB41" s="135"/>
      <c r="AC41" s="135"/>
      <c r="AD41" s="149"/>
      <c r="AE41" s="149"/>
      <c r="AF41" s="149"/>
      <c r="AG41" s="149"/>
      <c r="AH41" s="149"/>
      <c r="AI41" s="136"/>
    </row>
    <row r="42" spans="1:35" x14ac:dyDescent="0.3">
      <c r="A42" s="134"/>
      <c r="B42" s="135"/>
      <c r="C42" s="135"/>
      <c r="D42" s="135"/>
      <c r="E42" s="135"/>
      <c r="F42" s="135"/>
      <c r="G42" s="135"/>
      <c r="H42" s="135"/>
      <c r="I42" s="135"/>
      <c r="J42" s="135"/>
      <c r="K42" s="135"/>
      <c r="L42" s="135"/>
      <c r="M42" s="135"/>
      <c r="N42" s="135"/>
      <c r="O42" s="135"/>
      <c r="P42" s="135"/>
      <c r="Q42" s="135"/>
      <c r="R42" s="135"/>
      <c r="S42" s="135"/>
      <c r="T42" s="135"/>
      <c r="U42" s="135"/>
      <c r="V42" s="135"/>
      <c r="W42" s="135"/>
      <c r="X42" s="135"/>
      <c r="Y42" s="135"/>
      <c r="Z42" s="135"/>
      <c r="AA42" s="135"/>
      <c r="AB42" s="135"/>
      <c r="AC42" s="135"/>
      <c r="AD42" s="149"/>
      <c r="AE42" s="149"/>
      <c r="AF42" s="149"/>
      <c r="AG42" s="149"/>
      <c r="AH42" s="149"/>
      <c r="AI42" s="136"/>
    </row>
    <row r="43" spans="1:35" x14ac:dyDescent="0.3">
      <c r="A43" s="134"/>
      <c r="B43" s="135"/>
      <c r="C43" s="135"/>
      <c r="D43" s="135"/>
      <c r="E43" s="135"/>
      <c r="F43" s="135"/>
      <c r="G43" s="135"/>
      <c r="H43" s="135"/>
      <c r="I43" s="135"/>
      <c r="J43" s="135"/>
      <c r="K43" s="135"/>
      <c r="L43" s="135"/>
      <c r="M43" s="135"/>
      <c r="N43" s="135"/>
      <c r="O43" s="135"/>
      <c r="P43" s="135"/>
      <c r="Q43" s="135"/>
      <c r="R43" s="135"/>
      <c r="S43" s="135"/>
      <c r="T43" s="135"/>
      <c r="U43" s="135"/>
      <c r="V43" s="135"/>
      <c r="W43" s="135"/>
      <c r="X43" s="135"/>
      <c r="Y43" s="135"/>
      <c r="Z43" s="135"/>
      <c r="AA43" s="135"/>
      <c r="AB43" s="135"/>
      <c r="AC43" s="135"/>
      <c r="AD43" s="135"/>
      <c r="AE43" s="135"/>
      <c r="AF43" s="135"/>
      <c r="AG43" s="135"/>
      <c r="AH43" s="135"/>
      <c r="AI43" s="136"/>
    </row>
    <row r="44" spans="1:35" x14ac:dyDescent="0.3">
      <c r="A44" s="134"/>
      <c r="B44" s="135"/>
      <c r="C44" s="135"/>
      <c r="D44" s="135"/>
      <c r="E44" s="135"/>
      <c r="F44" s="135"/>
      <c r="G44" s="135"/>
      <c r="H44" s="135"/>
      <c r="I44" s="135"/>
      <c r="J44" s="135"/>
      <c r="K44" s="135"/>
      <c r="L44" s="135"/>
      <c r="M44" s="135"/>
      <c r="N44" s="135"/>
      <c r="O44" s="135"/>
      <c r="P44" s="135"/>
      <c r="Q44" s="135"/>
      <c r="R44" s="135"/>
      <c r="S44" s="135"/>
      <c r="T44" s="135"/>
      <c r="U44" s="135"/>
      <c r="V44" s="135"/>
      <c r="W44" s="135"/>
      <c r="X44" s="135"/>
      <c r="Y44" s="135"/>
      <c r="Z44" s="135"/>
      <c r="AA44" s="135"/>
      <c r="AB44" s="135"/>
      <c r="AC44" s="135"/>
      <c r="AD44" s="135"/>
      <c r="AE44" s="135"/>
      <c r="AF44" s="135"/>
      <c r="AG44" s="135"/>
      <c r="AH44" s="135"/>
      <c r="AI44" s="136"/>
    </row>
    <row r="45" spans="1:35" x14ac:dyDescent="0.3">
      <c r="A45" s="134"/>
      <c r="B45" s="135"/>
      <c r="C45" s="135"/>
      <c r="D45" s="135"/>
      <c r="E45" s="135"/>
      <c r="F45" s="135"/>
      <c r="G45" s="135"/>
      <c r="H45" s="135"/>
      <c r="I45" s="135"/>
      <c r="J45" s="135"/>
      <c r="K45" s="135"/>
      <c r="L45" s="135"/>
      <c r="M45" s="135"/>
      <c r="N45" s="135"/>
      <c r="O45" s="135"/>
      <c r="P45" s="135"/>
      <c r="Q45" s="135"/>
      <c r="R45" s="135"/>
      <c r="S45" s="135"/>
      <c r="T45" s="135"/>
      <c r="U45" s="135"/>
      <c r="V45" s="135"/>
      <c r="W45" s="135"/>
      <c r="X45" s="135"/>
      <c r="Y45" s="135"/>
      <c r="Z45" s="135"/>
      <c r="AA45" s="135"/>
      <c r="AB45" s="135"/>
      <c r="AC45" s="135"/>
      <c r="AD45" s="135"/>
      <c r="AE45" s="135"/>
      <c r="AF45" s="135"/>
      <c r="AG45" s="135"/>
      <c r="AH45" s="135"/>
      <c r="AI45" s="136"/>
    </row>
    <row r="46" spans="1:35" x14ac:dyDescent="0.3">
      <c r="A46" s="134"/>
      <c r="B46" s="135"/>
      <c r="C46" s="135"/>
      <c r="D46" s="135"/>
      <c r="E46" s="135"/>
      <c r="F46" s="135"/>
      <c r="G46" s="135"/>
      <c r="H46" s="135"/>
      <c r="I46" s="135"/>
      <c r="J46" s="135"/>
      <c r="K46" s="135"/>
      <c r="L46" s="135"/>
      <c r="M46" s="135"/>
      <c r="N46" s="135"/>
      <c r="O46" s="135"/>
      <c r="P46" s="135"/>
      <c r="Q46" s="135"/>
      <c r="R46" s="135"/>
      <c r="S46" s="135"/>
      <c r="T46" s="135"/>
      <c r="U46" s="135"/>
      <c r="V46" s="135"/>
      <c r="W46" s="135"/>
      <c r="X46" s="135"/>
      <c r="Y46" s="135"/>
      <c r="Z46" s="135"/>
      <c r="AA46" s="135"/>
      <c r="AB46" s="135"/>
      <c r="AC46" s="135"/>
      <c r="AD46" s="135"/>
      <c r="AE46" s="135"/>
      <c r="AF46" s="135"/>
      <c r="AG46" s="135"/>
      <c r="AH46" s="135"/>
      <c r="AI46" s="136"/>
    </row>
    <row r="47" spans="1:35" ht="16.2" thickBot="1" x14ac:dyDescent="0.35">
      <c r="A47" s="137"/>
      <c r="B47" s="138"/>
      <c r="C47" s="138"/>
      <c r="D47" s="138"/>
      <c r="E47" s="138"/>
      <c r="F47" s="138"/>
      <c r="G47" s="138"/>
      <c r="H47" s="138"/>
      <c r="I47" s="138"/>
      <c r="J47" s="138"/>
      <c r="K47" s="138"/>
      <c r="L47" s="138"/>
      <c r="M47" s="138"/>
      <c r="N47" s="138"/>
      <c r="O47" s="138"/>
      <c r="P47" s="138"/>
      <c r="Q47" s="138"/>
      <c r="R47" s="138"/>
      <c r="S47" s="138"/>
      <c r="T47" s="138"/>
      <c r="U47" s="138"/>
      <c r="V47" s="138"/>
      <c r="W47" s="138"/>
      <c r="X47" s="138"/>
      <c r="Y47" s="138"/>
      <c r="Z47" s="138"/>
      <c r="AA47" s="138"/>
      <c r="AB47" s="138"/>
      <c r="AC47" s="138"/>
      <c r="AD47" s="138"/>
      <c r="AE47" s="138"/>
      <c r="AF47" s="138"/>
      <c r="AG47" s="138"/>
      <c r="AH47" s="138"/>
      <c r="AI47" s="139"/>
    </row>
    <row r="48" spans="1:35" x14ac:dyDescent="0.3">
      <c r="A48" s="131"/>
      <c r="B48" s="132"/>
      <c r="C48" s="132"/>
      <c r="D48" s="132"/>
      <c r="E48" s="132"/>
      <c r="F48" s="132"/>
      <c r="G48" s="132"/>
      <c r="H48" s="132"/>
      <c r="I48" s="132"/>
      <c r="J48" s="132"/>
      <c r="K48" s="132"/>
      <c r="L48" s="132"/>
      <c r="M48" s="132"/>
      <c r="N48" s="132"/>
      <c r="O48" s="132"/>
      <c r="P48" s="132"/>
      <c r="Q48" s="132"/>
      <c r="R48" s="132"/>
      <c r="S48" s="132"/>
      <c r="T48" s="132"/>
      <c r="U48" s="132"/>
      <c r="V48" s="132"/>
      <c r="W48" s="132"/>
      <c r="X48" s="132"/>
      <c r="Y48" s="132"/>
      <c r="Z48" s="132"/>
      <c r="AA48" s="132"/>
      <c r="AB48" s="132"/>
      <c r="AC48" s="132"/>
      <c r="AD48" s="132"/>
      <c r="AE48" s="132"/>
      <c r="AF48" s="132"/>
      <c r="AG48" s="132"/>
      <c r="AH48" s="132"/>
      <c r="AI48" s="133"/>
    </row>
    <row r="49" spans="1:35" x14ac:dyDescent="0.3">
      <c r="A49" s="134"/>
      <c r="B49" s="135"/>
      <c r="C49" s="135"/>
      <c r="D49" s="135"/>
      <c r="E49" s="135"/>
      <c r="F49" s="135"/>
      <c r="G49" s="135"/>
      <c r="H49" s="135"/>
      <c r="I49" s="135"/>
      <c r="J49" s="135"/>
      <c r="K49" s="135"/>
      <c r="L49" s="135"/>
      <c r="M49" s="135"/>
      <c r="N49" s="135"/>
      <c r="O49" s="135"/>
      <c r="P49" s="135"/>
      <c r="Q49" s="135"/>
      <c r="R49" s="135"/>
      <c r="S49" s="135"/>
      <c r="T49" s="135"/>
      <c r="U49" s="135"/>
      <c r="V49" s="135"/>
      <c r="W49" s="135"/>
      <c r="X49" s="135"/>
      <c r="Y49" s="135"/>
      <c r="Z49" s="135"/>
      <c r="AA49" s="135"/>
      <c r="AB49" s="135"/>
      <c r="AC49" s="135"/>
      <c r="AD49" s="135"/>
      <c r="AE49" s="135"/>
      <c r="AF49" s="135"/>
      <c r="AG49" s="135"/>
      <c r="AH49" s="135"/>
      <c r="AI49" s="136"/>
    </row>
    <row r="50" spans="1:35" x14ac:dyDescent="0.3">
      <c r="A50" s="134"/>
      <c r="B50" s="135"/>
      <c r="C50" s="135"/>
      <c r="D50" s="135"/>
      <c r="E50" s="135"/>
      <c r="F50" s="135"/>
      <c r="G50" s="135"/>
      <c r="H50" s="135"/>
      <c r="I50" s="135"/>
      <c r="J50" s="135"/>
      <c r="K50" s="135"/>
      <c r="L50" s="135"/>
      <c r="M50" s="135"/>
      <c r="N50" s="135"/>
      <c r="O50" s="135"/>
      <c r="P50" s="135"/>
      <c r="Q50" s="135"/>
      <c r="R50" s="135"/>
      <c r="S50" s="135"/>
      <c r="T50" s="135"/>
      <c r="U50" s="135"/>
      <c r="V50" s="135"/>
      <c r="W50" s="135"/>
      <c r="X50" s="135"/>
      <c r="Y50" s="135"/>
      <c r="Z50" s="135"/>
      <c r="AA50" s="135"/>
      <c r="AB50" s="135"/>
      <c r="AC50" s="135"/>
      <c r="AD50" s="135"/>
      <c r="AE50" s="135"/>
      <c r="AF50" s="135"/>
      <c r="AG50" s="135"/>
      <c r="AH50" s="135"/>
      <c r="AI50" s="136"/>
    </row>
    <row r="51" spans="1:35" x14ac:dyDescent="0.3">
      <c r="A51" s="134"/>
      <c r="B51" s="135"/>
      <c r="C51" s="135"/>
      <c r="D51" s="135"/>
      <c r="E51" s="135"/>
      <c r="F51" s="135"/>
      <c r="G51" s="135"/>
      <c r="H51" s="135"/>
      <c r="I51" s="135"/>
      <c r="J51" s="135"/>
      <c r="K51" s="135"/>
      <c r="L51" s="135"/>
      <c r="M51" s="135"/>
      <c r="N51" s="135"/>
      <c r="O51" s="135"/>
      <c r="P51" s="135"/>
      <c r="Q51" s="135"/>
      <c r="R51" s="135"/>
      <c r="S51" s="135"/>
      <c r="T51" s="135"/>
      <c r="U51" s="135"/>
      <c r="V51" s="135"/>
      <c r="W51" s="135"/>
      <c r="X51" s="135"/>
      <c r="Y51" s="135"/>
      <c r="Z51" s="135"/>
      <c r="AA51" s="135"/>
      <c r="AB51" s="135"/>
      <c r="AC51" s="135"/>
      <c r="AD51" s="135"/>
      <c r="AE51" s="135"/>
      <c r="AF51" s="135"/>
      <c r="AG51" s="135"/>
      <c r="AH51" s="135"/>
      <c r="AI51" s="136"/>
    </row>
    <row r="52" spans="1:35" x14ac:dyDescent="0.3">
      <c r="A52" s="134"/>
      <c r="B52" s="135"/>
      <c r="C52" s="135"/>
      <c r="D52" s="135"/>
      <c r="E52" s="135"/>
      <c r="F52" s="135"/>
      <c r="G52" s="135"/>
      <c r="H52" s="135"/>
      <c r="I52" s="135"/>
      <c r="J52" s="135"/>
      <c r="K52" s="135"/>
      <c r="L52" s="135"/>
      <c r="M52" s="135"/>
      <c r="N52" s="135"/>
      <c r="O52" s="135"/>
      <c r="P52" s="135"/>
      <c r="Q52" s="135"/>
      <c r="R52" s="135"/>
      <c r="S52" s="135"/>
      <c r="T52" s="135"/>
      <c r="U52" s="135"/>
      <c r="V52" s="135"/>
      <c r="W52" s="135"/>
      <c r="X52" s="135"/>
      <c r="Y52" s="135"/>
      <c r="Z52" s="135"/>
      <c r="AA52" s="135"/>
      <c r="AB52" s="135"/>
      <c r="AC52" s="135"/>
      <c r="AD52" s="149" t="s">
        <v>137</v>
      </c>
      <c r="AE52" s="149"/>
      <c r="AF52" s="149"/>
      <c r="AG52" s="149"/>
      <c r="AH52" s="149"/>
      <c r="AI52" s="136"/>
    </row>
    <row r="53" spans="1:35" x14ac:dyDescent="0.3">
      <c r="A53" s="134"/>
      <c r="B53" s="135"/>
      <c r="C53" s="135"/>
      <c r="D53" s="135"/>
      <c r="E53" s="135"/>
      <c r="F53" s="135"/>
      <c r="G53" s="135"/>
      <c r="H53" s="135"/>
      <c r="I53" s="135"/>
      <c r="J53" s="135"/>
      <c r="K53" s="135"/>
      <c r="L53" s="135"/>
      <c r="M53" s="135"/>
      <c r="N53" s="135"/>
      <c r="O53" s="135"/>
      <c r="P53" s="135"/>
      <c r="Q53" s="135"/>
      <c r="R53" s="135"/>
      <c r="S53" s="135"/>
      <c r="T53" s="135"/>
      <c r="U53" s="135"/>
      <c r="V53" s="135"/>
      <c r="W53" s="135"/>
      <c r="X53" s="135"/>
      <c r="Y53" s="135"/>
      <c r="Z53" s="135"/>
      <c r="AA53" s="135"/>
      <c r="AB53" s="135"/>
      <c r="AC53" s="135"/>
      <c r="AD53" s="149"/>
      <c r="AE53" s="149"/>
      <c r="AF53" s="149"/>
      <c r="AG53" s="149"/>
      <c r="AH53" s="149"/>
      <c r="AI53" s="136"/>
    </row>
    <row r="54" spans="1:35" x14ac:dyDescent="0.3">
      <c r="A54" s="134"/>
      <c r="B54" s="135"/>
      <c r="C54" s="135"/>
      <c r="D54" s="135"/>
      <c r="E54" s="135"/>
      <c r="F54" s="135"/>
      <c r="G54" s="135"/>
      <c r="H54" s="135"/>
      <c r="I54" s="135"/>
      <c r="J54" s="135"/>
      <c r="K54" s="135"/>
      <c r="L54" s="135"/>
      <c r="M54" s="135"/>
      <c r="N54" s="135"/>
      <c r="O54" s="135"/>
      <c r="P54" s="135"/>
      <c r="Q54" s="135"/>
      <c r="R54" s="135"/>
      <c r="S54" s="135"/>
      <c r="T54" s="135"/>
      <c r="U54" s="135"/>
      <c r="V54" s="135"/>
      <c r="W54" s="135"/>
      <c r="X54" s="135"/>
      <c r="Y54" s="135"/>
      <c r="Z54" s="135"/>
      <c r="AA54" s="135"/>
      <c r="AB54" s="135"/>
      <c r="AC54" s="135"/>
      <c r="AD54" s="149"/>
      <c r="AE54" s="149"/>
      <c r="AF54" s="149"/>
      <c r="AG54" s="149"/>
      <c r="AH54" s="149"/>
      <c r="AI54" s="136"/>
    </row>
    <row r="55" spans="1:35" x14ac:dyDescent="0.3">
      <c r="A55" s="134"/>
      <c r="B55" s="135"/>
      <c r="C55" s="135"/>
      <c r="D55" s="135"/>
      <c r="E55" s="135"/>
      <c r="F55" s="135"/>
      <c r="G55" s="135"/>
      <c r="H55" s="135"/>
      <c r="I55" s="135"/>
      <c r="J55" s="135"/>
      <c r="K55" s="135"/>
      <c r="L55" s="135"/>
      <c r="M55" s="135"/>
      <c r="N55" s="135"/>
      <c r="O55" s="135"/>
      <c r="P55" s="135"/>
      <c r="Q55" s="135"/>
      <c r="R55" s="135"/>
      <c r="S55" s="135"/>
      <c r="T55" s="135"/>
      <c r="U55" s="135"/>
      <c r="V55" s="135"/>
      <c r="W55" s="135"/>
      <c r="X55" s="135"/>
      <c r="Y55" s="135"/>
      <c r="Z55" s="135"/>
      <c r="AA55" s="135"/>
      <c r="AB55" s="135"/>
      <c r="AC55" s="135"/>
      <c r="AD55" s="149"/>
      <c r="AE55" s="149"/>
      <c r="AF55" s="149"/>
      <c r="AG55" s="149"/>
      <c r="AH55" s="149"/>
      <c r="AI55" s="136"/>
    </row>
    <row r="56" spans="1:35" x14ac:dyDescent="0.3">
      <c r="A56" s="134"/>
      <c r="B56" s="135"/>
      <c r="C56" s="135"/>
      <c r="D56" s="135"/>
      <c r="E56" s="135"/>
      <c r="F56" s="135"/>
      <c r="G56" s="135"/>
      <c r="H56" s="135"/>
      <c r="I56" s="135"/>
      <c r="J56" s="135"/>
      <c r="K56" s="135"/>
      <c r="L56" s="135"/>
      <c r="M56" s="135"/>
      <c r="N56" s="135"/>
      <c r="O56" s="135"/>
      <c r="P56" s="135"/>
      <c r="Q56" s="135"/>
      <c r="R56" s="135"/>
      <c r="S56" s="135"/>
      <c r="T56" s="135"/>
      <c r="U56" s="135"/>
      <c r="V56" s="135"/>
      <c r="W56" s="135"/>
      <c r="X56" s="135"/>
      <c r="Y56" s="135"/>
      <c r="Z56" s="135"/>
      <c r="AA56" s="135"/>
      <c r="AB56" s="135"/>
      <c r="AC56" s="135"/>
      <c r="AD56" s="149"/>
      <c r="AE56" s="149"/>
      <c r="AF56" s="149"/>
      <c r="AG56" s="149"/>
      <c r="AH56" s="149"/>
      <c r="AI56" s="136"/>
    </row>
    <row r="57" spans="1:35" x14ac:dyDescent="0.3">
      <c r="A57" s="134"/>
      <c r="B57" s="135"/>
      <c r="C57" s="135"/>
      <c r="D57" s="135"/>
      <c r="E57" s="135"/>
      <c r="F57" s="135"/>
      <c r="G57" s="135"/>
      <c r="H57" s="135"/>
      <c r="I57" s="135"/>
      <c r="J57" s="135"/>
      <c r="K57" s="135"/>
      <c r="L57" s="135"/>
      <c r="M57" s="135"/>
      <c r="N57" s="135"/>
      <c r="O57" s="135"/>
      <c r="P57" s="135"/>
      <c r="Q57" s="135"/>
      <c r="R57" s="135"/>
      <c r="S57" s="135"/>
      <c r="T57" s="135"/>
      <c r="U57" s="135"/>
      <c r="V57" s="135"/>
      <c r="W57" s="135"/>
      <c r="X57" s="135"/>
      <c r="Y57" s="135"/>
      <c r="Z57" s="135"/>
      <c r="AA57" s="135"/>
      <c r="AB57" s="135"/>
      <c r="AC57" s="135"/>
      <c r="AD57" s="149"/>
      <c r="AE57" s="149"/>
      <c r="AF57" s="149"/>
      <c r="AG57" s="149"/>
      <c r="AH57" s="149"/>
      <c r="AI57" s="136"/>
    </row>
    <row r="58" spans="1:35" x14ac:dyDescent="0.3">
      <c r="A58" s="134"/>
      <c r="B58" s="135"/>
      <c r="C58" s="135"/>
      <c r="D58" s="135"/>
      <c r="E58" s="135"/>
      <c r="F58" s="135"/>
      <c r="G58" s="135"/>
      <c r="H58" s="135"/>
      <c r="I58" s="135"/>
      <c r="J58" s="135"/>
      <c r="K58" s="135"/>
      <c r="L58" s="135"/>
      <c r="M58" s="135"/>
      <c r="N58" s="135"/>
      <c r="O58" s="135"/>
      <c r="P58" s="135"/>
      <c r="Q58" s="135"/>
      <c r="R58" s="135"/>
      <c r="S58" s="135"/>
      <c r="T58" s="135"/>
      <c r="U58" s="135"/>
      <c r="V58" s="135"/>
      <c r="W58" s="135"/>
      <c r="X58" s="135"/>
      <c r="Y58" s="135"/>
      <c r="Z58" s="135"/>
      <c r="AA58" s="135"/>
      <c r="AB58" s="135"/>
      <c r="AC58" s="135"/>
      <c r="AD58" s="149"/>
      <c r="AE58" s="149"/>
      <c r="AF58" s="149"/>
      <c r="AG58" s="149"/>
      <c r="AH58" s="149"/>
      <c r="AI58" s="136"/>
    </row>
    <row r="59" spans="1:35" x14ac:dyDescent="0.3">
      <c r="A59" s="134"/>
      <c r="B59" s="135"/>
      <c r="C59" s="135"/>
      <c r="D59" s="135"/>
      <c r="E59" s="135"/>
      <c r="F59" s="135"/>
      <c r="G59" s="135"/>
      <c r="H59" s="135"/>
      <c r="I59" s="135"/>
      <c r="J59" s="135"/>
      <c r="K59" s="135"/>
      <c r="L59" s="135"/>
      <c r="M59" s="135"/>
      <c r="N59" s="135"/>
      <c r="O59" s="135"/>
      <c r="P59" s="135"/>
      <c r="Q59" s="135"/>
      <c r="R59" s="135"/>
      <c r="S59" s="135"/>
      <c r="T59" s="135"/>
      <c r="U59" s="135"/>
      <c r="V59" s="135"/>
      <c r="W59" s="135"/>
      <c r="X59" s="135"/>
      <c r="Y59" s="135"/>
      <c r="Z59" s="135"/>
      <c r="AA59" s="135"/>
      <c r="AB59" s="135"/>
      <c r="AC59" s="135"/>
      <c r="AD59" s="135"/>
      <c r="AE59" s="135"/>
      <c r="AF59" s="135"/>
      <c r="AG59" s="135"/>
      <c r="AH59" s="135"/>
      <c r="AI59" s="136"/>
    </row>
    <row r="60" spans="1:35" x14ac:dyDescent="0.3">
      <c r="A60" s="134"/>
      <c r="B60" s="135"/>
      <c r="C60" s="135"/>
      <c r="D60" s="135"/>
      <c r="E60" s="135"/>
      <c r="F60" s="135"/>
      <c r="G60" s="135"/>
      <c r="H60" s="135"/>
      <c r="I60" s="135"/>
      <c r="J60" s="135"/>
      <c r="K60" s="135"/>
      <c r="L60" s="135"/>
      <c r="M60" s="135"/>
      <c r="N60" s="135"/>
      <c r="O60" s="135"/>
      <c r="P60" s="135"/>
      <c r="Q60" s="135"/>
      <c r="R60" s="135"/>
      <c r="S60" s="135"/>
      <c r="T60" s="135"/>
      <c r="U60" s="135"/>
      <c r="V60" s="135"/>
      <c r="W60" s="135"/>
      <c r="X60" s="135"/>
      <c r="Y60" s="135"/>
      <c r="Z60" s="135"/>
      <c r="AA60" s="135"/>
      <c r="AB60" s="135"/>
      <c r="AC60" s="135"/>
      <c r="AD60" s="135"/>
      <c r="AE60" s="135"/>
      <c r="AF60" s="135"/>
      <c r="AG60" s="135"/>
      <c r="AH60" s="135"/>
      <c r="AI60" s="136"/>
    </row>
    <row r="61" spans="1:35" x14ac:dyDescent="0.3">
      <c r="A61" s="134"/>
      <c r="B61" s="135"/>
      <c r="C61" s="135"/>
      <c r="D61" s="135"/>
      <c r="E61" s="135"/>
      <c r="F61" s="135"/>
      <c r="G61" s="135"/>
      <c r="H61" s="135"/>
      <c r="I61" s="135"/>
      <c r="J61" s="135"/>
      <c r="K61" s="135"/>
      <c r="L61" s="135"/>
      <c r="M61" s="135"/>
      <c r="N61" s="135"/>
      <c r="O61" s="135"/>
      <c r="P61" s="135"/>
      <c r="Q61" s="135"/>
      <c r="R61" s="135"/>
      <c r="S61" s="135"/>
      <c r="T61" s="135"/>
      <c r="U61" s="135"/>
      <c r="V61" s="135"/>
      <c r="W61" s="135"/>
      <c r="X61" s="135"/>
      <c r="Y61" s="135"/>
      <c r="Z61" s="135"/>
      <c r="AA61" s="135"/>
      <c r="AB61" s="135"/>
      <c r="AC61" s="135"/>
      <c r="AD61" s="135"/>
      <c r="AE61" s="135"/>
      <c r="AF61" s="135"/>
      <c r="AG61" s="135"/>
      <c r="AH61" s="135"/>
      <c r="AI61" s="136"/>
    </row>
    <row r="62" spans="1:35" x14ac:dyDescent="0.3">
      <c r="A62" s="134"/>
      <c r="B62" s="135"/>
      <c r="C62" s="135"/>
      <c r="D62" s="135"/>
      <c r="E62" s="135"/>
      <c r="F62" s="135"/>
      <c r="G62" s="135"/>
      <c r="H62" s="135"/>
      <c r="I62" s="135"/>
      <c r="J62" s="135"/>
      <c r="K62" s="135"/>
      <c r="L62" s="135"/>
      <c r="M62" s="135"/>
      <c r="N62" s="135"/>
      <c r="O62" s="135"/>
      <c r="P62" s="135"/>
      <c r="Q62" s="135"/>
      <c r="R62" s="135"/>
      <c r="S62" s="135"/>
      <c r="T62" s="135"/>
      <c r="U62" s="135"/>
      <c r="V62" s="135"/>
      <c r="W62" s="135"/>
      <c r="X62" s="135"/>
      <c r="Y62" s="135"/>
      <c r="Z62" s="135"/>
      <c r="AA62" s="135"/>
      <c r="AB62" s="135"/>
      <c r="AC62" s="135"/>
      <c r="AD62" s="135"/>
      <c r="AE62" s="135"/>
      <c r="AF62" s="135"/>
      <c r="AG62" s="135"/>
      <c r="AH62" s="135"/>
      <c r="AI62" s="136"/>
    </row>
    <row r="63" spans="1:35" x14ac:dyDescent="0.3">
      <c r="A63" s="134"/>
      <c r="B63" s="135"/>
      <c r="C63" s="135"/>
      <c r="D63" s="135"/>
      <c r="E63" s="135"/>
      <c r="F63" s="135"/>
      <c r="G63" s="135"/>
      <c r="H63" s="135"/>
      <c r="I63" s="135"/>
      <c r="J63" s="135"/>
      <c r="K63" s="135"/>
      <c r="L63" s="135"/>
      <c r="M63" s="135"/>
      <c r="N63" s="135"/>
      <c r="O63" s="135"/>
      <c r="P63" s="135"/>
      <c r="Q63" s="135"/>
      <c r="R63" s="135"/>
      <c r="S63" s="135"/>
      <c r="T63" s="135"/>
      <c r="U63" s="135"/>
      <c r="V63" s="135"/>
      <c r="W63" s="135"/>
      <c r="X63" s="135"/>
      <c r="Y63" s="135"/>
      <c r="Z63" s="135"/>
      <c r="AA63" s="135"/>
      <c r="AB63" s="135"/>
      <c r="AC63" s="135"/>
      <c r="AD63" s="135"/>
      <c r="AE63" s="135"/>
      <c r="AF63" s="135"/>
      <c r="AG63" s="135"/>
      <c r="AH63" s="135"/>
      <c r="AI63" s="136"/>
    </row>
    <row r="64" spans="1:35" x14ac:dyDescent="0.3">
      <c r="A64" s="134"/>
      <c r="B64" s="135"/>
      <c r="C64" s="135"/>
      <c r="D64" s="135"/>
      <c r="E64" s="135"/>
      <c r="F64" s="135"/>
      <c r="G64" s="135"/>
      <c r="H64" s="135"/>
      <c r="I64" s="135"/>
      <c r="J64" s="135"/>
      <c r="K64" s="135"/>
      <c r="L64" s="135"/>
      <c r="M64" s="135"/>
      <c r="N64" s="135"/>
      <c r="O64" s="135"/>
      <c r="P64" s="135"/>
      <c r="Q64" s="135"/>
      <c r="R64" s="135"/>
      <c r="S64" s="135"/>
      <c r="T64" s="135"/>
      <c r="U64" s="135"/>
      <c r="V64" s="135"/>
      <c r="W64" s="135"/>
      <c r="X64" s="135"/>
      <c r="Y64" s="135"/>
      <c r="Z64" s="135"/>
      <c r="AA64" s="135"/>
      <c r="AB64" s="135"/>
      <c r="AC64" s="135"/>
      <c r="AD64" s="135"/>
      <c r="AE64" s="135"/>
      <c r="AF64" s="135"/>
      <c r="AG64" s="135"/>
      <c r="AH64" s="135"/>
      <c r="AI64" s="136"/>
    </row>
    <row r="65" spans="1:35" ht="16.2" thickBot="1" x14ac:dyDescent="0.35">
      <c r="A65" s="137"/>
      <c r="B65" s="138"/>
      <c r="C65" s="138"/>
      <c r="D65" s="138"/>
      <c r="E65" s="138"/>
      <c r="F65" s="138"/>
      <c r="G65" s="138"/>
      <c r="H65" s="138"/>
      <c r="I65" s="138"/>
      <c r="J65" s="138"/>
      <c r="K65" s="138"/>
      <c r="L65" s="138"/>
      <c r="M65" s="138"/>
      <c r="N65" s="138"/>
      <c r="O65" s="138"/>
      <c r="P65" s="138"/>
      <c r="Q65" s="138"/>
      <c r="R65" s="138"/>
      <c r="S65" s="138"/>
      <c r="T65" s="138"/>
      <c r="U65" s="138"/>
      <c r="V65" s="138"/>
      <c r="W65" s="138"/>
      <c r="X65" s="138"/>
      <c r="Y65" s="138"/>
      <c r="Z65" s="138"/>
      <c r="AA65" s="138"/>
      <c r="AB65" s="138"/>
      <c r="AC65" s="138"/>
      <c r="AD65" s="138"/>
      <c r="AE65" s="138"/>
      <c r="AF65" s="138"/>
      <c r="AG65" s="138"/>
      <c r="AH65" s="138"/>
      <c r="AI65" s="139"/>
    </row>
    <row r="66" spans="1:35" x14ac:dyDescent="0.3">
      <c r="A66" s="131"/>
      <c r="B66" s="132"/>
      <c r="C66" s="132"/>
      <c r="D66" s="132"/>
      <c r="E66" s="132"/>
      <c r="F66" s="132"/>
      <c r="G66" s="132"/>
      <c r="H66" s="132"/>
      <c r="I66" s="132"/>
      <c r="J66" s="132"/>
      <c r="K66" s="132"/>
      <c r="L66" s="132"/>
      <c r="M66" s="132"/>
      <c r="N66" s="132"/>
      <c r="O66" s="132"/>
      <c r="P66" s="132"/>
      <c r="Q66" s="132"/>
      <c r="R66" s="132"/>
      <c r="S66" s="132"/>
      <c r="T66" s="132"/>
      <c r="U66" s="132"/>
      <c r="V66" s="132"/>
      <c r="W66" s="132"/>
      <c r="X66" s="132"/>
      <c r="Y66" s="132"/>
      <c r="Z66" s="132"/>
      <c r="AA66" s="132"/>
      <c r="AB66" s="132"/>
      <c r="AC66" s="132"/>
      <c r="AD66" s="132"/>
      <c r="AE66" s="132"/>
      <c r="AF66" s="132"/>
      <c r="AG66" s="132"/>
      <c r="AH66" s="132"/>
      <c r="AI66" s="133"/>
    </row>
    <row r="67" spans="1:35" x14ac:dyDescent="0.3">
      <c r="A67" s="134"/>
      <c r="B67" s="135"/>
      <c r="C67" s="135"/>
      <c r="D67" s="135"/>
      <c r="E67" s="135"/>
      <c r="F67" s="135"/>
      <c r="G67" s="135"/>
      <c r="H67" s="135"/>
      <c r="I67" s="135"/>
      <c r="J67" s="135"/>
      <c r="K67" s="135"/>
      <c r="L67" s="135"/>
      <c r="M67" s="135"/>
      <c r="N67" s="135"/>
      <c r="O67" s="135"/>
      <c r="P67" s="135"/>
      <c r="Q67" s="135"/>
      <c r="R67" s="135"/>
      <c r="S67" s="135"/>
      <c r="T67" s="135"/>
      <c r="U67" s="135"/>
      <c r="V67" s="135"/>
      <c r="W67" s="135"/>
      <c r="X67" s="135"/>
      <c r="Y67" s="135"/>
      <c r="Z67" s="135"/>
      <c r="AA67" s="135"/>
      <c r="AB67" s="135"/>
      <c r="AC67" s="135"/>
      <c r="AD67" s="135"/>
      <c r="AE67" s="135"/>
      <c r="AF67" s="135"/>
      <c r="AG67" s="135"/>
      <c r="AH67" s="135"/>
      <c r="AI67" s="136"/>
    </row>
    <row r="68" spans="1:35" x14ac:dyDescent="0.3">
      <c r="A68" s="134"/>
      <c r="B68" s="135"/>
      <c r="C68" s="135"/>
      <c r="D68" s="135"/>
      <c r="E68" s="135"/>
      <c r="F68" s="135"/>
      <c r="G68" s="135"/>
      <c r="H68" s="135"/>
      <c r="I68" s="135"/>
      <c r="J68" s="135"/>
      <c r="K68" s="135"/>
      <c r="L68" s="135"/>
      <c r="M68" s="135"/>
      <c r="N68" s="135"/>
      <c r="O68" s="135"/>
      <c r="P68" s="135"/>
      <c r="Q68" s="135"/>
      <c r="R68" s="135"/>
      <c r="S68" s="135"/>
      <c r="T68" s="135"/>
      <c r="U68" s="135"/>
      <c r="V68" s="135"/>
      <c r="W68" s="135"/>
      <c r="X68" s="135"/>
      <c r="Y68" s="135"/>
      <c r="Z68" s="135"/>
      <c r="AA68" s="135"/>
      <c r="AB68" s="135"/>
      <c r="AC68" s="135"/>
      <c r="AD68" s="135"/>
      <c r="AE68" s="135"/>
      <c r="AF68" s="135"/>
      <c r="AG68" s="135"/>
      <c r="AH68" s="135"/>
      <c r="AI68" s="136"/>
    </row>
    <row r="69" spans="1:35" x14ac:dyDescent="0.3">
      <c r="A69" s="134"/>
      <c r="B69" s="135"/>
      <c r="C69" s="135"/>
      <c r="D69" s="135"/>
      <c r="E69" s="135"/>
      <c r="F69" s="135"/>
      <c r="G69" s="135"/>
      <c r="H69" s="135"/>
      <c r="I69" s="135"/>
      <c r="J69" s="135"/>
      <c r="K69" s="135"/>
      <c r="L69" s="135"/>
      <c r="M69" s="135"/>
      <c r="N69" s="135"/>
      <c r="O69" s="135"/>
      <c r="P69" s="135"/>
      <c r="Q69" s="135"/>
      <c r="R69" s="135"/>
      <c r="S69" s="135"/>
      <c r="T69" s="135"/>
      <c r="U69" s="135"/>
      <c r="V69" s="135"/>
      <c r="W69" s="135"/>
      <c r="X69" s="135"/>
      <c r="Y69" s="135"/>
      <c r="Z69" s="135"/>
      <c r="AA69" s="135"/>
      <c r="AB69" s="135"/>
      <c r="AC69" s="135"/>
      <c r="AD69" s="148" t="s">
        <v>141</v>
      </c>
      <c r="AE69" s="149"/>
      <c r="AF69" s="149"/>
      <c r="AG69" s="149"/>
      <c r="AH69" s="149"/>
      <c r="AI69" s="136"/>
    </row>
    <row r="70" spans="1:35" x14ac:dyDescent="0.3">
      <c r="A70" s="134"/>
      <c r="B70" s="135"/>
      <c r="C70" s="135"/>
      <c r="D70" s="135"/>
      <c r="E70" s="135"/>
      <c r="F70" s="135"/>
      <c r="G70" s="135"/>
      <c r="H70" s="135"/>
      <c r="I70" s="135"/>
      <c r="J70" s="135"/>
      <c r="K70" s="135"/>
      <c r="L70" s="135"/>
      <c r="M70" s="135"/>
      <c r="N70" s="135"/>
      <c r="O70" s="135"/>
      <c r="P70" s="135"/>
      <c r="Q70" s="135"/>
      <c r="R70" s="135"/>
      <c r="S70" s="135"/>
      <c r="T70" s="135"/>
      <c r="U70" s="135"/>
      <c r="V70" s="135"/>
      <c r="W70" s="135"/>
      <c r="X70" s="135"/>
      <c r="Y70" s="135"/>
      <c r="Z70" s="135"/>
      <c r="AA70" s="135"/>
      <c r="AB70" s="135"/>
      <c r="AC70" s="135"/>
      <c r="AD70" s="149"/>
      <c r="AE70" s="149"/>
      <c r="AF70" s="149"/>
      <c r="AG70" s="149"/>
      <c r="AH70" s="149"/>
      <c r="AI70" s="136"/>
    </row>
    <row r="71" spans="1:35" x14ac:dyDescent="0.3">
      <c r="A71" s="134"/>
      <c r="B71" s="135"/>
      <c r="C71" s="135"/>
      <c r="D71" s="135"/>
      <c r="E71" s="135"/>
      <c r="F71" s="135"/>
      <c r="G71" s="135"/>
      <c r="H71" s="135"/>
      <c r="I71" s="135"/>
      <c r="J71" s="135"/>
      <c r="K71" s="135"/>
      <c r="L71" s="135"/>
      <c r="M71" s="135"/>
      <c r="N71" s="135"/>
      <c r="O71" s="135"/>
      <c r="P71" s="135"/>
      <c r="Q71" s="135"/>
      <c r="R71" s="135"/>
      <c r="S71" s="135"/>
      <c r="T71" s="135"/>
      <c r="U71" s="135"/>
      <c r="V71" s="135"/>
      <c r="W71" s="135"/>
      <c r="X71" s="135"/>
      <c r="Y71" s="135"/>
      <c r="Z71" s="135"/>
      <c r="AA71" s="135"/>
      <c r="AB71" s="135"/>
      <c r="AC71" s="135"/>
      <c r="AD71" s="149"/>
      <c r="AE71" s="149"/>
      <c r="AF71" s="149"/>
      <c r="AG71" s="149"/>
      <c r="AH71" s="149"/>
      <c r="AI71" s="136"/>
    </row>
    <row r="72" spans="1:35" x14ac:dyDescent="0.3">
      <c r="A72" s="134"/>
      <c r="B72" s="135"/>
      <c r="C72" s="135"/>
      <c r="D72" s="135"/>
      <c r="E72" s="135"/>
      <c r="F72" s="135"/>
      <c r="G72" s="135"/>
      <c r="H72" s="135"/>
      <c r="I72" s="135"/>
      <c r="J72" s="135"/>
      <c r="K72" s="135"/>
      <c r="L72" s="135"/>
      <c r="M72" s="135"/>
      <c r="N72" s="135"/>
      <c r="O72" s="135"/>
      <c r="P72" s="135"/>
      <c r="Q72" s="135"/>
      <c r="R72" s="135"/>
      <c r="S72" s="135"/>
      <c r="T72" s="135"/>
      <c r="U72" s="135"/>
      <c r="V72" s="135"/>
      <c r="W72" s="135"/>
      <c r="X72" s="135"/>
      <c r="Y72" s="135"/>
      <c r="Z72" s="135"/>
      <c r="AA72" s="135"/>
      <c r="AB72" s="135"/>
      <c r="AC72" s="135"/>
      <c r="AD72" s="149"/>
      <c r="AE72" s="149"/>
      <c r="AF72" s="149"/>
      <c r="AG72" s="149"/>
      <c r="AH72" s="149"/>
      <c r="AI72" s="136"/>
    </row>
    <row r="73" spans="1:35" x14ac:dyDescent="0.3">
      <c r="A73" s="134"/>
      <c r="B73" s="135"/>
      <c r="C73" s="135"/>
      <c r="D73" s="135"/>
      <c r="E73" s="135"/>
      <c r="F73" s="135"/>
      <c r="G73" s="135"/>
      <c r="H73" s="135"/>
      <c r="I73" s="135"/>
      <c r="J73" s="135"/>
      <c r="K73" s="135"/>
      <c r="L73" s="135"/>
      <c r="M73" s="135"/>
      <c r="N73" s="135"/>
      <c r="O73" s="135"/>
      <c r="P73" s="135"/>
      <c r="Q73" s="135"/>
      <c r="R73" s="135"/>
      <c r="S73" s="135"/>
      <c r="T73" s="135"/>
      <c r="U73" s="135"/>
      <c r="V73" s="135"/>
      <c r="W73" s="135"/>
      <c r="X73" s="135"/>
      <c r="Y73" s="135"/>
      <c r="Z73" s="135"/>
      <c r="AA73" s="135"/>
      <c r="AB73" s="135"/>
      <c r="AC73" s="135"/>
      <c r="AD73" s="149"/>
      <c r="AE73" s="149"/>
      <c r="AF73" s="149"/>
      <c r="AG73" s="149"/>
      <c r="AH73" s="149"/>
      <c r="AI73" s="136"/>
    </row>
    <row r="74" spans="1:35" x14ac:dyDescent="0.3">
      <c r="A74" s="134"/>
      <c r="B74" s="135"/>
      <c r="C74" s="135"/>
      <c r="D74" s="135"/>
      <c r="E74" s="135"/>
      <c r="F74" s="135"/>
      <c r="G74" s="135"/>
      <c r="H74" s="135"/>
      <c r="I74" s="135"/>
      <c r="J74" s="135"/>
      <c r="K74" s="135"/>
      <c r="L74" s="135"/>
      <c r="M74" s="135"/>
      <c r="N74" s="135"/>
      <c r="O74" s="135"/>
      <c r="P74" s="135"/>
      <c r="Q74" s="135"/>
      <c r="R74" s="135"/>
      <c r="S74" s="135"/>
      <c r="T74" s="135"/>
      <c r="U74" s="135"/>
      <c r="V74" s="135"/>
      <c r="W74" s="135"/>
      <c r="X74" s="135"/>
      <c r="Y74" s="135"/>
      <c r="Z74" s="135"/>
      <c r="AA74" s="135"/>
      <c r="AB74" s="135"/>
      <c r="AC74" s="135"/>
      <c r="AD74" s="149"/>
      <c r="AE74" s="149"/>
      <c r="AF74" s="149"/>
      <c r="AG74" s="149"/>
      <c r="AH74" s="149"/>
      <c r="AI74" s="136"/>
    </row>
    <row r="75" spans="1:35" x14ac:dyDescent="0.3">
      <c r="A75" s="134"/>
      <c r="B75" s="135"/>
      <c r="C75" s="135"/>
      <c r="D75" s="135"/>
      <c r="E75" s="135"/>
      <c r="F75" s="135"/>
      <c r="G75" s="135"/>
      <c r="H75" s="135"/>
      <c r="I75" s="135"/>
      <c r="J75" s="135"/>
      <c r="K75" s="135"/>
      <c r="L75" s="135"/>
      <c r="M75" s="135"/>
      <c r="N75" s="135"/>
      <c r="O75" s="135"/>
      <c r="P75" s="135"/>
      <c r="Q75" s="135"/>
      <c r="R75" s="135"/>
      <c r="S75" s="135"/>
      <c r="T75" s="135"/>
      <c r="U75" s="135"/>
      <c r="V75" s="135"/>
      <c r="W75" s="135"/>
      <c r="X75" s="135"/>
      <c r="Y75" s="135"/>
      <c r="Z75" s="135"/>
      <c r="AA75" s="135"/>
      <c r="AB75" s="135"/>
      <c r="AC75" s="135"/>
      <c r="AD75" s="149"/>
      <c r="AE75" s="149"/>
      <c r="AF75" s="149"/>
      <c r="AG75" s="149"/>
      <c r="AH75" s="149"/>
      <c r="AI75" s="136"/>
    </row>
    <row r="76" spans="1:35" x14ac:dyDescent="0.3">
      <c r="A76" s="134"/>
      <c r="B76" s="135"/>
      <c r="C76" s="135"/>
      <c r="D76" s="135"/>
      <c r="E76" s="135"/>
      <c r="F76" s="135"/>
      <c r="G76" s="135"/>
      <c r="H76" s="135"/>
      <c r="I76" s="135"/>
      <c r="J76" s="135"/>
      <c r="K76" s="135"/>
      <c r="L76" s="135"/>
      <c r="M76" s="135"/>
      <c r="N76" s="135"/>
      <c r="O76" s="135"/>
      <c r="P76" s="135"/>
      <c r="Q76" s="135"/>
      <c r="R76" s="135"/>
      <c r="S76" s="135"/>
      <c r="T76" s="135"/>
      <c r="U76" s="135"/>
      <c r="V76" s="135"/>
      <c r="W76" s="135"/>
      <c r="X76" s="135"/>
      <c r="Y76" s="135"/>
      <c r="Z76" s="135"/>
      <c r="AA76" s="135"/>
      <c r="AB76" s="135"/>
      <c r="AC76" s="135"/>
      <c r="AD76" s="135"/>
      <c r="AE76" s="135"/>
      <c r="AF76" s="135"/>
      <c r="AG76" s="135"/>
      <c r="AH76" s="135"/>
      <c r="AI76" s="136"/>
    </row>
    <row r="77" spans="1:35" x14ac:dyDescent="0.3">
      <c r="A77" s="134"/>
      <c r="B77" s="135"/>
      <c r="C77" s="135"/>
      <c r="D77" s="135"/>
      <c r="E77" s="135"/>
      <c r="F77" s="135"/>
      <c r="G77" s="135"/>
      <c r="H77" s="135"/>
      <c r="I77" s="135"/>
      <c r="J77" s="135"/>
      <c r="K77" s="135"/>
      <c r="L77" s="135"/>
      <c r="M77" s="135"/>
      <c r="N77" s="135"/>
      <c r="O77" s="135"/>
      <c r="P77" s="135"/>
      <c r="Q77" s="135"/>
      <c r="R77" s="135"/>
      <c r="S77" s="135"/>
      <c r="T77" s="135"/>
      <c r="U77" s="135"/>
      <c r="V77" s="135"/>
      <c r="W77" s="135"/>
      <c r="X77" s="135"/>
      <c r="Y77" s="135"/>
      <c r="Z77" s="135"/>
      <c r="AA77" s="135"/>
      <c r="AB77" s="135"/>
      <c r="AC77" s="135"/>
      <c r="AD77" s="135"/>
      <c r="AE77" s="135"/>
      <c r="AF77" s="135"/>
      <c r="AG77" s="135"/>
      <c r="AH77" s="135"/>
      <c r="AI77" s="136"/>
    </row>
    <row r="78" spans="1:35" x14ac:dyDescent="0.3">
      <c r="A78" s="134"/>
      <c r="B78" s="135"/>
      <c r="C78" s="135"/>
      <c r="D78" s="135"/>
      <c r="E78" s="135"/>
      <c r="F78" s="135"/>
      <c r="G78" s="135"/>
      <c r="H78" s="135"/>
      <c r="I78" s="135"/>
      <c r="J78" s="135"/>
      <c r="K78" s="135"/>
      <c r="L78" s="135"/>
      <c r="M78" s="135"/>
      <c r="N78" s="135"/>
      <c r="O78" s="135"/>
      <c r="P78" s="135"/>
      <c r="Q78" s="135"/>
      <c r="R78" s="135"/>
      <c r="S78" s="135"/>
      <c r="T78" s="135"/>
      <c r="U78" s="135"/>
      <c r="V78" s="135"/>
      <c r="W78" s="135"/>
      <c r="X78" s="135"/>
      <c r="Y78" s="135"/>
      <c r="Z78" s="135"/>
      <c r="AA78" s="135"/>
      <c r="AB78" s="135"/>
      <c r="AC78" s="135"/>
      <c r="AD78" s="135"/>
      <c r="AE78" s="135"/>
      <c r="AF78" s="135"/>
      <c r="AG78" s="135"/>
      <c r="AH78" s="135"/>
      <c r="AI78" s="136"/>
    </row>
    <row r="79" spans="1:35" x14ac:dyDescent="0.3">
      <c r="A79" s="134"/>
      <c r="B79" s="135"/>
      <c r="C79" s="135"/>
      <c r="D79" s="135"/>
      <c r="E79" s="135"/>
      <c r="F79" s="135"/>
      <c r="G79" s="135"/>
      <c r="H79" s="135"/>
      <c r="I79" s="135"/>
      <c r="J79" s="135"/>
      <c r="K79" s="135"/>
      <c r="L79" s="135"/>
      <c r="M79" s="135"/>
      <c r="N79" s="135"/>
      <c r="O79" s="135"/>
      <c r="P79" s="135"/>
      <c r="Q79" s="135"/>
      <c r="R79" s="135"/>
      <c r="S79" s="135"/>
      <c r="T79" s="135"/>
      <c r="U79" s="135"/>
      <c r="V79" s="135"/>
      <c r="W79" s="135"/>
      <c r="X79" s="135"/>
      <c r="Y79" s="135"/>
      <c r="Z79" s="135"/>
      <c r="AA79" s="135"/>
      <c r="AB79" s="135"/>
      <c r="AC79" s="135"/>
      <c r="AD79" s="135"/>
      <c r="AE79" s="135"/>
      <c r="AF79" s="135"/>
      <c r="AG79" s="135"/>
      <c r="AH79" s="135"/>
      <c r="AI79" s="136"/>
    </row>
    <row r="80" spans="1:35" x14ac:dyDescent="0.3">
      <c r="A80" s="134"/>
      <c r="B80" s="135"/>
      <c r="C80" s="135"/>
      <c r="D80" s="135"/>
      <c r="E80" s="135"/>
      <c r="F80" s="135"/>
      <c r="G80" s="135"/>
      <c r="H80" s="135"/>
      <c r="I80" s="135"/>
      <c r="J80" s="135"/>
      <c r="K80" s="135"/>
      <c r="L80" s="135"/>
      <c r="M80" s="135"/>
      <c r="N80" s="135"/>
      <c r="O80" s="135"/>
      <c r="P80" s="135"/>
      <c r="Q80" s="135"/>
      <c r="R80" s="135"/>
      <c r="S80" s="135"/>
      <c r="T80" s="135"/>
      <c r="U80" s="135"/>
      <c r="V80" s="135"/>
      <c r="W80" s="135"/>
      <c r="X80" s="135"/>
      <c r="Y80" s="135"/>
      <c r="Z80" s="135"/>
      <c r="AA80" s="135"/>
      <c r="AB80" s="135"/>
      <c r="AC80" s="135"/>
      <c r="AD80" s="135"/>
      <c r="AE80" s="135"/>
      <c r="AF80" s="135"/>
      <c r="AG80" s="135"/>
      <c r="AH80" s="135"/>
      <c r="AI80" s="136"/>
    </row>
    <row r="81" spans="1:35" x14ac:dyDescent="0.3">
      <c r="A81" s="134"/>
      <c r="B81" s="135"/>
      <c r="C81" s="135"/>
      <c r="D81" s="135"/>
      <c r="E81" s="135"/>
      <c r="F81" s="135"/>
      <c r="G81" s="135"/>
      <c r="H81" s="135"/>
      <c r="I81" s="135"/>
      <c r="J81" s="135"/>
      <c r="K81" s="135"/>
      <c r="L81" s="135"/>
      <c r="M81" s="135"/>
      <c r="N81" s="135"/>
      <c r="O81" s="135"/>
      <c r="P81" s="135"/>
      <c r="Q81" s="135"/>
      <c r="R81" s="135"/>
      <c r="S81" s="135"/>
      <c r="T81" s="135"/>
      <c r="U81" s="135"/>
      <c r="V81" s="135"/>
      <c r="W81" s="135"/>
      <c r="X81" s="135"/>
      <c r="Y81" s="135"/>
      <c r="Z81" s="135"/>
      <c r="AA81" s="135"/>
      <c r="AB81" s="135"/>
      <c r="AC81" s="135"/>
      <c r="AD81" s="135"/>
      <c r="AE81" s="135"/>
      <c r="AF81" s="135"/>
      <c r="AG81" s="135"/>
      <c r="AH81" s="135"/>
      <c r="AI81" s="136"/>
    </row>
    <row r="82" spans="1:35" ht="16.2" thickBot="1" x14ac:dyDescent="0.35">
      <c r="A82" s="137"/>
      <c r="B82" s="138"/>
      <c r="C82" s="138"/>
      <c r="D82" s="138"/>
      <c r="E82" s="138"/>
      <c r="F82" s="138"/>
      <c r="G82" s="138"/>
      <c r="H82" s="138"/>
      <c r="I82" s="138"/>
      <c r="J82" s="138"/>
      <c r="K82" s="138"/>
      <c r="L82" s="138"/>
      <c r="M82" s="138"/>
      <c r="N82" s="138"/>
      <c r="O82" s="138"/>
      <c r="P82" s="138"/>
      <c r="Q82" s="138"/>
      <c r="R82" s="138"/>
      <c r="S82" s="138"/>
      <c r="T82" s="138"/>
      <c r="U82" s="138"/>
      <c r="V82" s="138"/>
      <c r="W82" s="138"/>
      <c r="X82" s="138"/>
      <c r="Y82" s="138"/>
      <c r="Z82" s="138"/>
      <c r="AA82" s="138"/>
      <c r="AB82" s="138"/>
      <c r="AC82" s="138"/>
      <c r="AD82" s="138"/>
      <c r="AE82" s="138"/>
      <c r="AF82" s="138"/>
      <c r="AG82" s="138"/>
      <c r="AH82" s="138"/>
      <c r="AI82" s="139"/>
    </row>
    <row r="83" spans="1:35" x14ac:dyDescent="0.3">
      <c r="A83" s="131"/>
      <c r="B83" s="132"/>
      <c r="C83" s="132"/>
      <c r="D83" s="132"/>
      <c r="E83" s="132"/>
      <c r="F83" s="132"/>
      <c r="G83" s="132"/>
      <c r="H83" s="132"/>
      <c r="I83" s="132"/>
      <c r="J83" s="132"/>
      <c r="K83" s="132"/>
      <c r="L83" s="132"/>
      <c r="M83" s="132"/>
      <c r="N83" s="132"/>
      <c r="O83" s="132"/>
      <c r="P83" s="132"/>
      <c r="Q83" s="132"/>
      <c r="R83" s="132"/>
      <c r="S83" s="132"/>
      <c r="T83" s="132"/>
      <c r="U83" s="132"/>
      <c r="V83" s="132"/>
      <c r="W83" s="132"/>
      <c r="X83" s="132"/>
      <c r="Y83" s="132"/>
      <c r="Z83" s="132"/>
      <c r="AA83" s="132"/>
      <c r="AB83" s="132"/>
      <c r="AC83" s="132"/>
      <c r="AD83" s="132"/>
      <c r="AE83" s="132"/>
      <c r="AF83" s="132"/>
      <c r="AG83" s="132"/>
      <c r="AH83" s="132"/>
      <c r="AI83" s="133"/>
    </row>
    <row r="84" spans="1:35" x14ac:dyDescent="0.3">
      <c r="A84" s="134"/>
      <c r="B84" s="135"/>
      <c r="C84" s="135"/>
      <c r="D84" s="135"/>
      <c r="E84" s="135"/>
      <c r="F84" s="135"/>
      <c r="G84" s="135"/>
      <c r="H84" s="135"/>
      <c r="I84" s="135"/>
      <c r="J84" s="135"/>
      <c r="K84" s="135"/>
      <c r="L84" s="135"/>
      <c r="M84" s="135"/>
      <c r="N84" s="135"/>
      <c r="O84" s="135"/>
      <c r="P84" s="135"/>
      <c r="Q84" s="135"/>
      <c r="R84" s="135"/>
      <c r="S84" s="135"/>
      <c r="T84" s="135"/>
      <c r="U84" s="135"/>
      <c r="V84" s="135"/>
      <c r="W84" s="135"/>
      <c r="X84" s="135"/>
      <c r="Y84" s="135"/>
      <c r="Z84" s="135"/>
      <c r="AA84" s="135"/>
      <c r="AB84" s="135"/>
      <c r="AC84" s="135"/>
      <c r="AD84" s="135"/>
      <c r="AE84" s="135"/>
      <c r="AF84" s="135"/>
      <c r="AG84" s="135"/>
      <c r="AH84" s="135"/>
      <c r="AI84" s="136"/>
    </row>
    <row r="85" spans="1:35" x14ac:dyDescent="0.3">
      <c r="A85" s="134"/>
      <c r="B85" s="135"/>
      <c r="C85" s="135"/>
      <c r="D85" s="135"/>
      <c r="E85" s="135"/>
      <c r="F85" s="135"/>
      <c r="G85" s="135"/>
      <c r="H85" s="135"/>
      <c r="I85" s="135"/>
      <c r="J85" s="135"/>
      <c r="K85" s="135"/>
      <c r="L85" s="135"/>
      <c r="M85" s="135"/>
      <c r="N85" s="135"/>
      <c r="O85" s="135"/>
      <c r="P85" s="135"/>
      <c r="Q85" s="135"/>
      <c r="R85" s="135"/>
      <c r="S85" s="135"/>
      <c r="T85" s="135"/>
      <c r="U85" s="135"/>
      <c r="V85" s="135"/>
      <c r="W85" s="135"/>
      <c r="X85" s="135"/>
      <c r="Y85" s="135"/>
      <c r="Z85" s="135"/>
      <c r="AA85" s="135"/>
      <c r="AB85" s="135"/>
      <c r="AC85" s="135"/>
      <c r="AD85" s="135"/>
      <c r="AE85" s="135"/>
      <c r="AF85" s="135"/>
      <c r="AG85" s="135"/>
      <c r="AH85" s="135"/>
      <c r="AI85" s="136"/>
    </row>
    <row r="86" spans="1:35" x14ac:dyDescent="0.3">
      <c r="A86" s="134"/>
      <c r="B86" s="135"/>
      <c r="C86" s="135"/>
      <c r="D86" s="135"/>
      <c r="E86" s="135"/>
      <c r="F86" s="135"/>
      <c r="G86" s="135"/>
      <c r="H86" s="135"/>
      <c r="I86" s="135"/>
      <c r="J86" s="135"/>
      <c r="K86" s="135"/>
      <c r="L86" s="135"/>
      <c r="M86" s="135"/>
      <c r="N86" s="135"/>
      <c r="O86" s="135"/>
      <c r="P86" s="135"/>
      <c r="Q86" s="135"/>
      <c r="R86" s="135"/>
      <c r="S86" s="135"/>
      <c r="T86" s="135"/>
      <c r="U86" s="135"/>
      <c r="V86" s="135"/>
      <c r="W86" s="135"/>
      <c r="X86" s="135"/>
      <c r="Y86" s="135"/>
      <c r="Z86" s="135"/>
      <c r="AA86" s="135"/>
      <c r="AB86" s="135"/>
      <c r="AC86" s="135"/>
      <c r="AD86" s="148" t="s">
        <v>142</v>
      </c>
      <c r="AE86" s="149"/>
      <c r="AF86" s="149"/>
      <c r="AG86" s="149"/>
      <c r="AH86" s="149"/>
      <c r="AI86" s="136"/>
    </row>
    <row r="87" spans="1:35" x14ac:dyDescent="0.3">
      <c r="A87" s="134"/>
      <c r="B87" s="135"/>
      <c r="C87" s="135"/>
      <c r="D87" s="135"/>
      <c r="E87" s="135"/>
      <c r="F87" s="135"/>
      <c r="G87" s="135"/>
      <c r="H87" s="135"/>
      <c r="I87" s="135"/>
      <c r="J87" s="135"/>
      <c r="K87" s="135"/>
      <c r="L87" s="135"/>
      <c r="M87" s="135"/>
      <c r="N87" s="135"/>
      <c r="O87" s="135"/>
      <c r="P87" s="135"/>
      <c r="Q87" s="135"/>
      <c r="R87" s="135"/>
      <c r="S87" s="135"/>
      <c r="T87" s="135"/>
      <c r="U87" s="135"/>
      <c r="V87" s="135"/>
      <c r="W87" s="135"/>
      <c r="X87" s="135"/>
      <c r="Y87" s="135"/>
      <c r="Z87" s="135"/>
      <c r="AA87" s="135"/>
      <c r="AB87" s="135"/>
      <c r="AC87" s="135"/>
      <c r="AD87" s="149"/>
      <c r="AE87" s="149"/>
      <c r="AF87" s="149"/>
      <c r="AG87" s="149"/>
      <c r="AH87" s="149"/>
      <c r="AI87" s="136"/>
    </row>
    <row r="88" spans="1:35" x14ac:dyDescent="0.3">
      <c r="A88" s="134"/>
      <c r="B88" s="135"/>
      <c r="C88" s="135"/>
      <c r="D88" s="135"/>
      <c r="E88" s="135"/>
      <c r="F88" s="135"/>
      <c r="G88" s="135"/>
      <c r="H88" s="135"/>
      <c r="I88" s="135"/>
      <c r="J88" s="135"/>
      <c r="K88" s="135"/>
      <c r="L88" s="135"/>
      <c r="M88" s="135"/>
      <c r="N88" s="135"/>
      <c r="O88" s="135"/>
      <c r="P88" s="135"/>
      <c r="Q88" s="135"/>
      <c r="R88" s="135"/>
      <c r="S88" s="135"/>
      <c r="T88" s="135"/>
      <c r="U88" s="135"/>
      <c r="V88" s="135"/>
      <c r="W88" s="135"/>
      <c r="X88" s="135"/>
      <c r="Y88" s="135"/>
      <c r="Z88" s="135"/>
      <c r="AA88" s="135"/>
      <c r="AB88" s="135"/>
      <c r="AC88" s="135"/>
      <c r="AD88" s="149"/>
      <c r="AE88" s="149"/>
      <c r="AF88" s="149"/>
      <c r="AG88" s="149"/>
      <c r="AH88" s="149"/>
      <c r="AI88" s="136"/>
    </row>
    <row r="89" spans="1:35" x14ac:dyDescent="0.3">
      <c r="A89" s="134"/>
      <c r="B89" s="135"/>
      <c r="C89" s="135"/>
      <c r="D89" s="135"/>
      <c r="E89" s="135"/>
      <c r="F89" s="135"/>
      <c r="G89" s="135"/>
      <c r="H89" s="135"/>
      <c r="I89" s="135"/>
      <c r="J89" s="135"/>
      <c r="K89" s="135"/>
      <c r="L89" s="135"/>
      <c r="M89" s="135"/>
      <c r="N89" s="135"/>
      <c r="O89" s="135"/>
      <c r="P89" s="135"/>
      <c r="Q89" s="135"/>
      <c r="R89" s="135"/>
      <c r="S89" s="135"/>
      <c r="T89" s="135"/>
      <c r="U89" s="135"/>
      <c r="V89" s="135"/>
      <c r="W89" s="135"/>
      <c r="X89" s="135"/>
      <c r="Y89" s="135"/>
      <c r="Z89" s="135"/>
      <c r="AA89" s="135"/>
      <c r="AB89" s="135"/>
      <c r="AC89" s="135"/>
      <c r="AD89" s="149"/>
      <c r="AE89" s="149"/>
      <c r="AF89" s="149"/>
      <c r="AG89" s="149"/>
      <c r="AH89" s="149"/>
      <c r="AI89" s="136"/>
    </row>
    <row r="90" spans="1:35" x14ac:dyDescent="0.3">
      <c r="A90" s="134"/>
      <c r="B90" s="135"/>
      <c r="C90" s="135"/>
      <c r="D90" s="135"/>
      <c r="E90" s="135"/>
      <c r="F90" s="135"/>
      <c r="G90" s="135"/>
      <c r="H90" s="135"/>
      <c r="I90" s="135"/>
      <c r="J90" s="135"/>
      <c r="K90" s="135"/>
      <c r="L90" s="135"/>
      <c r="M90" s="135"/>
      <c r="N90" s="135"/>
      <c r="O90" s="135"/>
      <c r="P90" s="135"/>
      <c r="Q90" s="135"/>
      <c r="R90" s="135"/>
      <c r="S90" s="135"/>
      <c r="T90" s="135"/>
      <c r="U90" s="135"/>
      <c r="V90" s="135"/>
      <c r="W90" s="135"/>
      <c r="X90" s="135"/>
      <c r="Y90" s="135"/>
      <c r="Z90" s="135"/>
      <c r="AA90" s="135"/>
      <c r="AB90" s="135"/>
      <c r="AC90" s="135"/>
      <c r="AD90" s="149"/>
      <c r="AE90" s="149"/>
      <c r="AF90" s="149"/>
      <c r="AG90" s="149"/>
      <c r="AH90" s="149"/>
      <c r="AI90" s="136"/>
    </row>
    <row r="91" spans="1:35" x14ac:dyDescent="0.3">
      <c r="A91" s="134"/>
      <c r="B91" s="135"/>
      <c r="C91" s="135"/>
      <c r="D91" s="135"/>
      <c r="E91" s="135"/>
      <c r="F91" s="135"/>
      <c r="G91" s="135"/>
      <c r="H91" s="135"/>
      <c r="I91" s="135"/>
      <c r="J91" s="135"/>
      <c r="K91" s="135"/>
      <c r="L91" s="135"/>
      <c r="M91" s="135"/>
      <c r="N91" s="135"/>
      <c r="O91" s="135"/>
      <c r="P91" s="135"/>
      <c r="Q91" s="135"/>
      <c r="R91" s="135"/>
      <c r="S91" s="135"/>
      <c r="T91" s="135"/>
      <c r="U91" s="135"/>
      <c r="V91" s="135"/>
      <c r="W91" s="135"/>
      <c r="X91" s="135"/>
      <c r="Y91" s="135"/>
      <c r="Z91" s="135"/>
      <c r="AA91" s="135"/>
      <c r="AB91" s="135"/>
      <c r="AC91" s="135"/>
      <c r="AD91" s="149"/>
      <c r="AE91" s="149"/>
      <c r="AF91" s="149"/>
      <c r="AG91" s="149"/>
      <c r="AH91" s="149"/>
      <c r="AI91" s="136"/>
    </row>
    <row r="92" spans="1:35" x14ac:dyDescent="0.3">
      <c r="A92" s="134"/>
      <c r="B92" s="135"/>
      <c r="C92" s="135"/>
      <c r="D92" s="135"/>
      <c r="E92" s="135"/>
      <c r="F92" s="135"/>
      <c r="G92" s="135"/>
      <c r="H92" s="135"/>
      <c r="I92" s="135"/>
      <c r="J92" s="135"/>
      <c r="K92" s="135"/>
      <c r="L92" s="135"/>
      <c r="M92" s="135"/>
      <c r="N92" s="135"/>
      <c r="O92" s="135"/>
      <c r="P92" s="135"/>
      <c r="Q92" s="135"/>
      <c r="R92" s="135"/>
      <c r="S92" s="135"/>
      <c r="T92" s="135"/>
      <c r="U92" s="135"/>
      <c r="V92" s="135"/>
      <c r="W92" s="135"/>
      <c r="X92" s="135"/>
      <c r="Y92" s="135"/>
      <c r="Z92" s="135"/>
      <c r="AA92" s="135"/>
      <c r="AB92" s="135"/>
      <c r="AC92" s="135"/>
      <c r="AD92" s="149"/>
      <c r="AE92" s="149"/>
      <c r="AF92" s="149"/>
      <c r="AG92" s="149"/>
      <c r="AH92" s="149"/>
      <c r="AI92" s="136"/>
    </row>
    <row r="93" spans="1:35" x14ac:dyDescent="0.3">
      <c r="A93" s="134"/>
      <c r="B93" s="135"/>
      <c r="C93" s="135"/>
      <c r="D93" s="135"/>
      <c r="E93" s="135"/>
      <c r="F93" s="135"/>
      <c r="G93" s="135"/>
      <c r="H93" s="135"/>
      <c r="I93" s="135"/>
      <c r="J93" s="135"/>
      <c r="K93" s="135"/>
      <c r="L93" s="135"/>
      <c r="M93" s="135"/>
      <c r="N93" s="135"/>
      <c r="O93" s="135"/>
      <c r="P93" s="135"/>
      <c r="Q93" s="135"/>
      <c r="R93" s="135"/>
      <c r="S93" s="135"/>
      <c r="T93" s="135"/>
      <c r="U93" s="135"/>
      <c r="V93" s="135"/>
      <c r="W93" s="135"/>
      <c r="X93" s="135"/>
      <c r="Y93" s="135"/>
      <c r="Z93" s="135"/>
      <c r="AA93" s="135"/>
      <c r="AB93" s="135"/>
      <c r="AC93" s="135"/>
      <c r="AD93" s="135"/>
      <c r="AE93" s="135"/>
      <c r="AF93" s="135"/>
      <c r="AG93" s="135"/>
      <c r="AH93" s="135"/>
      <c r="AI93" s="136"/>
    </row>
    <row r="94" spans="1:35" x14ac:dyDescent="0.3">
      <c r="A94" s="134"/>
      <c r="B94" s="135"/>
      <c r="C94" s="135"/>
      <c r="D94" s="135"/>
      <c r="E94" s="135"/>
      <c r="F94" s="135"/>
      <c r="G94" s="135"/>
      <c r="H94" s="135"/>
      <c r="I94" s="135"/>
      <c r="J94" s="135"/>
      <c r="K94" s="135"/>
      <c r="L94" s="135"/>
      <c r="M94" s="135"/>
      <c r="N94" s="135"/>
      <c r="O94" s="135"/>
      <c r="P94" s="135"/>
      <c r="Q94" s="135"/>
      <c r="R94" s="135"/>
      <c r="S94" s="135"/>
      <c r="T94" s="135"/>
      <c r="U94" s="135"/>
      <c r="V94" s="135"/>
      <c r="W94" s="135"/>
      <c r="X94" s="135"/>
      <c r="Y94" s="135"/>
      <c r="Z94" s="135"/>
      <c r="AA94" s="135"/>
      <c r="AB94" s="135"/>
      <c r="AC94" s="135"/>
      <c r="AD94" s="135"/>
      <c r="AE94" s="135"/>
      <c r="AF94" s="135"/>
      <c r="AG94" s="135"/>
      <c r="AH94" s="135"/>
      <c r="AI94" s="136"/>
    </row>
    <row r="95" spans="1:35" x14ac:dyDescent="0.3">
      <c r="A95" s="134"/>
      <c r="B95" s="135"/>
      <c r="C95" s="135"/>
      <c r="D95" s="135"/>
      <c r="E95" s="135"/>
      <c r="F95" s="135"/>
      <c r="G95" s="135"/>
      <c r="H95" s="135"/>
      <c r="I95" s="135"/>
      <c r="J95" s="135"/>
      <c r="K95" s="135"/>
      <c r="L95" s="135"/>
      <c r="M95" s="135"/>
      <c r="N95" s="135"/>
      <c r="O95" s="135"/>
      <c r="P95" s="135"/>
      <c r="Q95" s="135"/>
      <c r="R95" s="135"/>
      <c r="S95" s="135"/>
      <c r="T95" s="135"/>
      <c r="U95" s="135"/>
      <c r="V95" s="135"/>
      <c r="W95" s="135"/>
      <c r="X95" s="135"/>
      <c r="Y95" s="135"/>
      <c r="Z95" s="135"/>
      <c r="AA95" s="135"/>
      <c r="AB95" s="135"/>
      <c r="AC95" s="135"/>
      <c r="AD95" s="135"/>
      <c r="AE95" s="135"/>
      <c r="AF95" s="135"/>
      <c r="AG95" s="135"/>
      <c r="AH95" s="135"/>
      <c r="AI95" s="136"/>
    </row>
    <row r="96" spans="1:35" x14ac:dyDescent="0.3">
      <c r="A96" s="134"/>
      <c r="B96" s="135"/>
      <c r="C96" s="135"/>
      <c r="D96" s="135"/>
      <c r="E96" s="135"/>
      <c r="F96" s="135"/>
      <c r="G96" s="135"/>
      <c r="H96" s="135"/>
      <c r="I96" s="135"/>
      <c r="J96" s="135"/>
      <c r="K96" s="135"/>
      <c r="L96" s="135"/>
      <c r="M96" s="135"/>
      <c r="N96" s="135"/>
      <c r="O96" s="135"/>
      <c r="P96" s="135"/>
      <c r="Q96" s="135"/>
      <c r="R96" s="135"/>
      <c r="S96" s="135"/>
      <c r="T96" s="135"/>
      <c r="U96" s="135"/>
      <c r="V96" s="135"/>
      <c r="W96" s="135"/>
      <c r="X96" s="135"/>
      <c r="Y96" s="135"/>
      <c r="Z96" s="135"/>
      <c r="AA96" s="135"/>
      <c r="AB96" s="135"/>
      <c r="AC96" s="135"/>
      <c r="AD96" s="135"/>
      <c r="AE96" s="135"/>
      <c r="AF96" s="135"/>
      <c r="AG96" s="135"/>
      <c r="AH96" s="135"/>
      <c r="AI96" s="136"/>
    </row>
    <row r="97" spans="1:35" x14ac:dyDescent="0.3">
      <c r="A97" s="134"/>
      <c r="B97" s="135"/>
      <c r="C97" s="135"/>
      <c r="D97" s="135"/>
      <c r="E97" s="135"/>
      <c r="F97" s="135"/>
      <c r="G97" s="135"/>
      <c r="H97" s="135"/>
      <c r="I97" s="135"/>
      <c r="J97" s="135"/>
      <c r="K97" s="135"/>
      <c r="L97" s="135"/>
      <c r="M97" s="135"/>
      <c r="N97" s="135"/>
      <c r="O97" s="135"/>
      <c r="P97" s="135"/>
      <c r="Q97" s="135"/>
      <c r="R97" s="135"/>
      <c r="S97" s="135"/>
      <c r="T97" s="135"/>
      <c r="U97" s="135"/>
      <c r="V97" s="135"/>
      <c r="W97" s="135"/>
      <c r="X97" s="135"/>
      <c r="Y97" s="135"/>
      <c r="Z97" s="135"/>
      <c r="AA97" s="135"/>
      <c r="AB97" s="135"/>
      <c r="AC97" s="135"/>
      <c r="AD97" s="135"/>
      <c r="AE97" s="135"/>
      <c r="AF97" s="135"/>
      <c r="AG97" s="135"/>
      <c r="AH97" s="135"/>
      <c r="AI97" s="136"/>
    </row>
    <row r="98" spans="1:35" ht="16.2" thickBot="1" x14ac:dyDescent="0.35">
      <c r="A98" s="137"/>
      <c r="B98" s="138"/>
      <c r="C98" s="138"/>
      <c r="D98" s="138"/>
      <c r="E98" s="138"/>
      <c r="F98" s="138"/>
      <c r="G98" s="138"/>
      <c r="H98" s="138"/>
      <c r="I98" s="138"/>
      <c r="J98" s="138"/>
      <c r="K98" s="138"/>
      <c r="L98" s="138"/>
      <c r="M98" s="138"/>
      <c r="N98" s="138"/>
      <c r="O98" s="138"/>
      <c r="P98" s="138"/>
      <c r="Q98" s="138"/>
      <c r="R98" s="138"/>
      <c r="S98" s="138"/>
      <c r="T98" s="138"/>
      <c r="U98" s="138"/>
      <c r="V98" s="138"/>
      <c r="W98" s="138"/>
      <c r="X98" s="138"/>
      <c r="Y98" s="138"/>
      <c r="Z98" s="138"/>
      <c r="AA98" s="138"/>
      <c r="AB98" s="138"/>
      <c r="AC98" s="138"/>
      <c r="AD98" s="138"/>
      <c r="AE98" s="138"/>
      <c r="AF98" s="138"/>
      <c r="AG98" s="138"/>
      <c r="AH98" s="138"/>
      <c r="AI98" s="139"/>
    </row>
    <row r="99" spans="1:35" x14ac:dyDescent="0.3">
      <c r="A99" s="131"/>
      <c r="B99" s="132"/>
      <c r="C99" s="132"/>
      <c r="D99" s="132"/>
      <c r="E99" s="132"/>
      <c r="F99" s="132"/>
      <c r="G99" s="132"/>
      <c r="H99" s="132"/>
      <c r="I99" s="132"/>
      <c r="J99" s="132"/>
      <c r="K99" s="132"/>
      <c r="L99" s="132"/>
      <c r="M99" s="132"/>
      <c r="N99" s="132"/>
      <c r="O99" s="132"/>
      <c r="P99" s="132"/>
      <c r="Q99" s="132"/>
      <c r="R99" s="132"/>
      <c r="S99" s="132"/>
      <c r="T99" s="132"/>
      <c r="U99" s="132"/>
      <c r="V99" s="132"/>
      <c r="W99" s="132"/>
      <c r="X99" s="132"/>
      <c r="Y99" s="132"/>
      <c r="Z99" s="132"/>
      <c r="AA99" s="132"/>
      <c r="AB99" s="132"/>
      <c r="AC99" s="132"/>
      <c r="AD99" s="132"/>
      <c r="AE99" s="132"/>
      <c r="AF99" s="132"/>
      <c r="AG99" s="132"/>
      <c r="AH99" s="132"/>
      <c r="AI99" s="133"/>
    </row>
    <row r="100" spans="1:35" x14ac:dyDescent="0.3">
      <c r="A100" s="134"/>
      <c r="B100" s="135"/>
      <c r="C100" s="135"/>
      <c r="D100" s="135"/>
      <c r="E100" s="135"/>
      <c r="F100" s="135"/>
      <c r="G100" s="135"/>
      <c r="H100" s="135"/>
      <c r="I100" s="135"/>
      <c r="J100" s="135"/>
      <c r="K100" s="135"/>
      <c r="L100" s="135"/>
      <c r="M100" s="135"/>
      <c r="N100" s="135"/>
      <c r="O100" s="135"/>
      <c r="P100" s="135"/>
      <c r="Q100" s="135"/>
      <c r="R100" s="135"/>
      <c r="S100" s="135"/>
      <c r="T100" s="135"/>
      <c r="U100" s="135"/>
      <c r="V100" s="135"/>
      <c r="W100" s="135"/>
      <c r="X100" s="135"/>
      <c r="Y100" s="135"/>
      <c r="Z100" s="135"/>
      <c r="AA100" s="135"/>
      <c r="AB100" s="135"/>
      <c r="AC100" s="135"/>
      <c r="AD100" s="135"/>
      <c r="AE100" s="135"/>
      <c r="AF100" s="135"/>
      <c r="AG100" s="135"/>
      <c r="AH100" s="135"/>
      <c r="AI100" s="136"/>
    </row>
    <row r="101" spans="1:35" x14ac:dyDescent="0.3">
      <c r="A101" s="134"/>
      <c r="B101" s="135"/>
      <c r="C101" s="135"/>
      <c r="D101" s="135"/>
      <c r="E101" s="135"/>
      <c r="F101" s="135"/>
      <c r="G101" s="135"/>
      <c r="H101" s="135"/>
      <c r="I101" s="135"/>
      <c r="J101" s="135"/>
      <c r="K101" s="135"/>
      <c r="L101" s="135"/>
      <c r="M101" s="135"/>
      <c r="N101" s="135"/>
      <c r="O101" s="135"/>
      <c r="P101" s="135"/>
      <c r="Q101" s="135"/>
      <c r="R101" s="135"/>
      <c r="S101" s="135"/>
      <c r="T101" s="135"/>
      <c r="U101" s="135"/>
      <c r="V101" s="135"/>
      <c r="W101" s="135"/>
      <c r="X101" s="135"/>
      <c r="Y101" s="135"/>
      <c r="Z101" s="135"/>
      <c r="AA101" s="135"/>
      <c r="AB101" s="135"/>
      <c r="AC101" s="135"/>
      <c r="AD101" s="135"/>
      <c r="AE101" s="135"/>
      <c r="AF101" s="135"/>
      <c r="AG101" s="135"/>
      <c r="AH101" s="135"/>
      <c r="AI101" s="136"/>
    </row>
    <row r="102" spans="1:35" x14ac:dyDescent="0.3">
      <c r="A102" s="134"/>
      <c r="B102" s="135"/>
      <c r="C102" s="135"/>
      <c r="D102" s="135"/>
      <c r="E102" s="135"/>
      <c r="F102" s="135"/>
      <c r="G102" s="135"/>
      <c r="H102" s="135"/>
      <c r="I102" s="135"/>
      <c r="J102" s="135"/>
      <c r="K102" s="135"/>
      <c r="L102" s="135"/>
      <c r="M102" s="135"/>
      <c r="N102" s="135"/>
      <c r="O102" s="135"/>
      <c r="P102" s="135"/>
      <c r="Q102" s="135"/>
      <c r="R102" s="135"/>
      <c r="S102" s="135"/>
      <c r="T102" s="135"/>
      <c r="U102" s="135"/>
      <c r="V102" s="135"/>
      <c r="W102" s="135"/>
      <c r="X102" s="135"/>
      <c r="Y102" s="135"/>
      <c r="Z102" s="135"/>
      <c r="AA102" s="135"/>
      <c r="AB102" s="135"/>
      <c r="AC102" s="135"/>
      <c r="AD102" s="135"/>
      <c r="AE102" s="135"/>
      <c r="AF102" s="135"/>
      <c r="AG102" s="135"/>
      <c r="AH102" s="135"/>
      <c r="AI102" s="136"/>
    </row>
    <row r="103" spans="1:35" x14ac:dyDescent="0.3">
      <c r="A103" s="134"/>
      <c r="B103" s="135"/>
      <c r="C103" s="135"/>
      <c r="D103" s="135"/>
      <c r="E103" s="135"/>
      <c r="F103" s="135"/>
      <c r="G103" s="135"/>
      <c r="H103" s="135"/>
      <c r="I103" s="135"/>
      <c r="J103" s="135"/>
      <c r="K103" s="135"/>
      <c r="L103" s="135"/>
      <c r="M103" s="135"/>
      <c r="N103" s="135"/>
      <c r="O103" s="135"/>
      <c r="P103" s="135"/>
      <c r="Q103" s="135"/>
      <c r="R103" s="135"/>
      <c r="S103" s="135"/>
      <c r="T103" s="135"/>
      <c r="U103" s="135"/>
      <c r="V103" s="135"/>
      <c r="W103" s="135"/>
      <c r="X103" s="135"/>
      <c r="Y103" s="135"/>
      <c r="Z103" s="135"/>
      <c r="AA103" s="135"/>
      <c r="AB103" s="135"/>
      <c r="AC103" s="135"/>
      <c r="AD103" s="148" t="s">
        <v>143</v>
      </c>
      <c r="AE103" s="149"/>
      <c r="AF103" s="149"/>
      <c r="AG103" s="149"/>
      <c r="AH103" s="149"/>
      <c r="AI103" s="136"/>
    </row>
    <row r="104" spans="1:35" x14ac:dyDescent="0.3">
      <c r="A104" s="134"/>
      <c r="B104" s="135"/>
      <c r="C104" s="135"/>
      <c r="D104" s="135"/>
      <c r="E104" s="135"/>
      <c r="F104" s="135"/>
      <c r="G104" s="135"/>
      <c r="H104" s="135"/>
      <c r="I104" s="135"/>
      <c r="J104" s="135"/>
      <c r="K104" s="135"/>
      <c r="L104" s="135"/>
      <c r="M104" s="135"/>
      <c r="N104" s="135"/>
      <c r="O104" s="135"/>
      <c r="P104" s="135"/>
      <c r="Q104" s="135"/>
      <c r="R104" s="135"/>
      <c r="S104" s="135"/>
      <c r="T104" s="135"/>
      <c r="U104" s="135"/>
      <c r="V104" s="135"/>
      <c r="W104" s="135"/>
      <c r="X104" s="135"/>
      <c r="Y104" s="135"/>
      <c r="Z104" s="135"/>
      <c r="AA104" s="135"/>
      <c r="AB104" s="135"/>
      <c r="AC104" s="135"/>
      <c r="AD104" s="149"/>
      <c r="AE104" s="149"/>
      <c r="AF104" s="149"/>
      <c r="AG104" s="149"/>
      <c r="AH104" s="149"/>
      <c r="AI104" s="136"/>
    </row>
    <row r="105" spans="1:35" x14ac:dyDescent="0.3">
      <c r="A105" s="134"/>
      <c r="B105" s="135"/>
      <c r="C105" s="135"/>
      <c r="D105" s="135"/>
      <c r="E105" s="135"/>
      <c r="F105" s="135"/>
      <c r="G105" s="135"/>
      <c r="H105" s="135"/>
      <c r="I105" s="135"/>
      <c r="J105" s="135"/>
      <c r="K105" s="135"/>
      <c r="L105" s="135"/>
      <c r="M105" s="135"/>
      <c r="N105" s="135"/>
      <c r="O105" s="135"/>
      <c r="P105" s="135"/>
      <c r="Q105" s="135"/>
      <c r="R105" s="135"/>
      <c r="S105" s="135"/>
      <c r="T105" s="135"/>
      <c r="U105" s="135"/>
      <c r="V105" s="135"/>
      <c r="W105" s="135"/>
      <c r="X105" s="135"/>
      <c r="Y105" s="135"/>
      <c r="Z105" s="135"/>
      <c r="AA105" s="135"/>
      <c r="AB105" s="135"/>
      <c r="AC105" s="135"/>
      <c r="AD105" s="149"/>
      <c r="AE105" s="149"/>
      <c r="AF105" s="149"/>
      <c r="AG105" s="149"/>
      <c r="AH105" s="149"/>
      <c r="AI105" s="136"/>
    </row>
    <row r="106" spans="1:35" x14ac:dyDescent="0.3">
      <c r="A106" s="134"/>
      <c r="B106" s="135"/>
      <c r="C106" s="135"/>
      <c r="D106" s="135"/>
      <c r="E106" s="135"/>
      <c r="F106" s="135"/>
      <c r="G106" s="135"/>
      <c r="H106" s="135"/>
      <c r="I106" s="135"/>
      <c r="J106" s="135"/>
      <c r="K106" s="135"/>
      <c r="L106" s="135"/>
      <c r="M106" s="135"/>
      <c r="N106" s="135"/>
      <c r="O106" s="135"/>
      <c r="P106" s="135"/>
      <c r="Q106" s="135"/>
      <c r="R106" s="135"/>
      <c r="S106" s="135"/>
      <c r="T106" s="135"/>
      <c r="U106" s="135"/>
      <c r="V106" s="135"/>
      <c r="W106" s="135"/>
      <c r="X106" s="135"/>
      <c r="Y106" s="135"/>
      <c r="Z106" s="135"/>
      <c r="AA106" s="135"/>
      <c r="AB106" s="135"/>
      <c r="AC106" s="135"/>
      <c r="AD106" s="149"/>
      <c r="AE106" s="149"/>
      <c r="AF106" s="149"/>
      <c r="AG106" s="149"/>
      <c r="AH106" s="149"/>
      <c r="AI106" s="136"/>
    </row>
    <row r="107" spans="1:35" x14ac:dyDescent="0.3">
      <c r="A107" s="134"/>
      <c r="B107" s="135"/>
      <c r="C107" s="135"/>
      <c r="D107" s="135"/>
      <c r="E107" s="135"/>
      <c r="F107" s="135"/>
      <c r="G107" s="135"/>
      <c r="H107" s="135"/>
      <c r="I107" s="135"/>
      <c r="J107" s="135"/>
      <c r="K107" s="135"/>
      <c r="L107" s="135"/>
      <c r="M107" s="135"/>
      <c r="N107" s="135"/>
      <c r="O107" s="135"/>
      <c r="P107" s="135"/>
      <c r="Q107" s="135"/>
      <c r="R107" s="135"/>
      <c r="S107" s="135"/>
      <c r="T107" s="135"/>
      <c r="U107" s="135"/>
      <c r="V107" s="135"/>
      <c r="W107" s="135"/>
      <c r="X107" s="135"/>
      <c r="Y107" s="135"/>
      <c r="Z107" s="135"/>
      <c r="AA107" s="135"/>
      <c r="AB107" s="135"/>
      <c r="AC107" s="135"/>
      <c r="AD107" s="149"/>
      <c r="AE107" s="149"/>
      <c r="AF107" s="149"/>
      <c r="AG107" s="149"/>
      <c r="AH107" s="149"/>
      <c r="AI107" s="136"/>
    </row>
    <row r="108" spans="1:35" x14ac:dyDescent="0.3">
      <c r="A108" s="134"/>
      <c r="B108" s="135"/>
      <c r="C108" s="135"/>
      <c r="D108" s="135"/>
      <c r="E108" s="135"/>
      <c r="F108" s="135"/>
      <c r="G108" s="135"/>
      <c r="H108" s="135"/>
      <c r="I108" s="135"/>
      <c r="J108" s="135"/>
      <c r="K108" s="135"/>
      <c r="L108" s="135"/>
      <c r="M108" s="135"/>
      <c r="N108" s="135"/>
      <c r="O108" s="135"/>
      <c r="P108" s="135"/>
      <c r="Q108" s="135"/>
      <c r="R108" s="135"/>
      <c r="S108" s="135"/>
      <c r="T108" s="135"/>
      <c r="U108" s="135"/>
      <c r="V108" s="135"/>
      <c r="W108" s="135"/>
      <c r="X108" s="135"/>
      <c r="Y108" s="135"/>
      <c r="Z108" s="135"/>
      <c r="AA108" s="135"/>
      <c r="AB108" s="135"/>
      <c r="AC108" s="135"/>
      <c r="AD108" s="149"/>
      <c r="AE108" s="149"/>
      <c r="AF108" s="149"/>
      <c r="AG108" s="149"/>
      <c r="AH108" s="149"/>
      <c r="AI108" s="136"/>
    </row>
    <row r="109" spans="1:35" x14ac:dyDescent="0.3">
      <c r="A109" s="134"/>
      <c r="B109" s="135"/>
      <c r="C109" s="135"/>
      <c r="D109" s="135"/>
      <c r="E109" s="135"/>
      <c r="F109" s="135"/>
      <c r="G109" s="135"/>
      <c r="H109" s="135"/>
      <c r="I109" s="135"/>
      <c r="J109" s="135"/>
      <c r="K109" s="135"/>
      <c r="L109" s="135"/>
      <c r="M109" s="135"/>
      <c r="N109" s="135"/>
      <c r="O109" s="135"/>
      <c r="P109" s="135"/>
      <c r="Q109" s="135"/>
      <c r="R109" s="135"/>
      <c r="S109" s="135"/>
      <c r="T109" s="135"/>
      <c r="U109" s="135"/>
      <c r="V109" s="135"/>
      <c r="W109" s="135"/>
      <c r="X109" s="135"/>
      <c r="Y109" s="135"/>
      <c r="Z109" s="135"/>
      <c r="AA109" s="135"/>
      <c r="AB109" s="135"/>
      <c r="AC109" s="135"/>
      <c r="AD109" s="149"/>
      <c r="AE109" s="149"/>
      <c r="AF109" s="149"/>
      <c r="AG109" s="149"/>
      <c r="AH109" s="149"/>
      <c r="AI109" s="136"/>
    </row>
    <row r="110" spans="1:35" x14ac:dyDescent="0.3">
      <c r="A110" s="134"/>
      <c r="B110" s="135"/>
      <c r="C110" s="135"/>
      <c r="D110" s="135"/>
      <c r="E110" s="135"/>
      <c r="F110" s="135"/>
      <c r="G110" s="135"/>
      <c r="H110" s="135"/>
      <c r="I110" s="135"/>
      <c r="J110" s="135"/>
      <c r="K110" s="135"/>
      <c r="L110" s="135"/>
      <c r="M110" s="135"/>
      <c r="N110" s="135"/>
      <c r="O110" s="135"/>
      <c r="P110" s="135"/>
      <c r="Q110" s="135"/>
      <c r="R110" s="135"/>
      <c r="S110" s="135"/>
      <c r="T110" s="135"/>
      <c r="U110" s="135"/>
      <c r="V110" s="135"/>
      <c r="W110" s="135"/>
      <c r="X110" s="135"/>
      <c r="Y110" s="135"/>
      <c r="Z110" s="135"/>
      <c r="AA110" s="135"/>
      <c r="AB110" s="135"/>
      <c r="AC110" s="135"/>
      <c r="AD110" s="135"/>
      <c r="AE110" s="135"/>
      <c r="AF110" s="135"/>
      <c r="AG110" s="135"/>
      <c r="AH110" s="135"/>
      <c r="AI110" s="136"/>
    </row>
    <row r="111" spans="1:35" x14ac:dyDescent="0.3">
      <c r="A111" s="134"/>
      <c r="B111" s="135"/>
      <c r="C111" s="135"/>
      <c r="D111" s="135"/>
      <c r="E111" s="135"/>
      <c r="F111" s="135"/>
      <c r="G111" s="135"/>
      <c r="H111" s="135"/>
      <c r="I111" s="135"/>
      <c r="J111" s="135"/>
      <c r="K111" s="135"/>
      <c r="L111" s="135"/>
      <c r="M111" s="135"/>
      <c r="N111" s="135"/>
      <c r="O111" s="135"/>
      <c r="P111" s="135"/>
      <c r="Q111" s="135"/>
      <c r="R111" s="135"/>
      <c r="S111" s="135"/>
      <c r="T111" s="135"/>
      <c r="U111" s="135"/>
      <c r="V111" s="135"/>
      <c r="W111" s="135"/>
      <c r="X111" s="135"/>
      <c r="Y111" s="135"/>
      <c r="Z111" s="135"/>
      <c r="AA111" s="135"/>
      <c r="AB111" s="135"/>
      <c r="AC111" s="135"/>
      <c r="AD111" s="135"/>
      <c r="AE111" s="135"/>
      <c r="AF111" s="135"/>
      <c r="AG111" s="135"/>
      <c r="AH111" s="135"/>
      <c r="AI111" s="136"/>
    </row>
    <row r="112" spans="1:35" x14ac:dyDescent="0.3">
      <c r="A112" s="134"/>
      <c r="B112" s="135"/>
      <c r="C112" s="135"/>
      <c r="D112" s="135"/>
      <c r="E112" s="135"/>
      <c r="F112" s="135"/>
      <c r="G112" s="135"/>
      <c r="H112" s="135"/>
      <c r="I112" s="135"/>
      <c r="J112" s="135"/>
      <c r="K112" s="135"/>
      <c r="L112" s="135"/>
      <c r="M112" s="135"/>
      <c r="N112" s="135"/>
      <c r="O112" s="135"/>
      <c r="P112" s="135"/>
      <c r="Q112" s="135"/>
      <c r="R112" s="135"/>
      <c r="S112" s="135"/>
      <c r="T112" s="135"/>
      <c r="U112" s="135"/>
      <c r="V112" s="135"/>
      <c r="W112" s="135"/>
      <c r="X112" s="135"/>
      <c r="Y112" s="135"/>
      <c r="Z112" s="135"/>
      <c r="AA112" s="135"/>
      <c r="AB112" s="135"/>
      <c r="AC112" s="135"/>
      <c r="AD112" s="135"/>
      <c r="AE112" s="135"/>
      <c r="AF112" s="135"/>
      <c r="AG112" s="135"/>
      <c r="AH112" s="135"/>
      <c r="AI112" s="136"/>
    </row>
    <row r="113" spans="1:35" x14ac:dyDescent="0.3">
      <c r="A113" s="134"/>
      <c r="B113" s="135"/>
      <c r="C113" s="135"/>
      <c r="D113" s="135"/>
      <c r="E113" s="135"/>
      <c r="F113" s="135"/>
      <c r="G113" s="135"/>
      <c r="H113" s="135"/>
      <c r="I113" s="135"/>
      <c r="J113" s="135"/>
      <c r="K113" s="135"/>
      <c r="L113" s="135"/>
      <c r="M113" s="135"/>
      <c r="N113" s="135"/>
      <c r="O113" s="135"/>
      <c r="P113" s="135"/>
      <c r="Q113" s="135"/>
      <c r="R113" s="135"/>
      <c r="S113" s="135"/>
      <c r="T113" s="135"/>
      <c r="U113" s="135"/>
      <c r="V113" s="135"/>
      <c r="W113" s="135"/>
      <c r="X113" s="135"/>
      <c r="Y113" s="135"/>
      <c r="Z113" s="135"/>
      <c r="AA113" s="135"/>
      <c r="AB113" s="135"/>
      <c r="AC113" s="135"/>
      <c r="AD113" s="135"/>
      <c r="AE113" s="135"/>
      <c r="AF113" s="135"/>
      <c r="AG113" s="135"/>
      <c r="AH113" s="135"/>
      <c r="AI113" s="136"/>
    </row>
    <row r="114" spans="1:35" ht="16.2" thickBot="1" x14ac:dyDescent="0.35">
      <c r="A114" s="137"/>
      <c r="B114" s="138"/>
      <c r="C114" s="138"/>
      <c r="D114" s="138"/>
      <c r="E114" s="138"/>
      <c r="F114" s="138"/>
      <c r="G114" s="138"/>
      <c r="H114" s="138"/>
      <c r="I114" s="138"/>
      <c r="J114" s="138"/>
      <c r="K114" s="138"/>
      <c r="L114" s="138"/>
      <c r="M114" s="138"/>
      <c r="N114" s="138"/>
      <c r="O114" s="138"/>
      <c r="P114" s="138"/>
      <c r="Q114" s="138"/>
      <c r="R114" s="138"/>
      <c r="S114" s="138"/>
      <c r="T114" s="138"/>
      <c r="U114" s="138"/>
      <c r="V114" s="138"/>
      <c r="W114" s="138"/>
      <c r="X114" s="138"/>
      <c r="Y114" s="138"/>
      <c r="Z114" s="138"/>
      <c r="AA114" s="138"/>
      <c r="AB114" s="138"/>
      <c r="AC114" s="138"/>
      <c r="AD114" s="138"/>
      <c r="AE114" s="138"/>
      <c r="AF114" s="138"/>
      <c r="AG114" s="138"/>
      <c r="AH114" s="138"/>
      <c r="AI114" s="139"/>
    </row>
    <row r="115" spans="1:35" x14ac:dyDescent="0.3">
      <c r="A115" s="131"/>
      <c r="B115" s="132"/>
      <c r="C115" s="132"/>
      <c r="D115" s="132"/>
      <c r="E115" s="132"/>
      <c r="F115" s="132"/>
      <c r="G115" s="132"/>
      <c r="H115" s="132"/>
      <c r="I115" s="132"/>
      <c r="J115" s="132"/>
      <c r="K115" s="132"/>
      <c r="L115" s="132"/>
      <c r="M115" s="132"/>
      <c r="N115" s="132"/>
      <c r="O115" s="132"/>
      <c r="P115" s="132"/>
      <c r="Q115" s="132"/>
      <c r="R115" s="132"/>
      <c r="S115" s="132"/>
      <c r="T115" s="132"/>
      <c r="U115" s="132"/>
      <c r="V115" s="132"/>
      <c r="W115" s="132"/>
      <c r="X115" s="132"/>
      <c r="Y115" s="132"/>
      <c r="Z115" s="132"/>
      <c r="AA115" s="132"/>
      <c r="AB115" s="132"/>
      <c r="AC115" s="132"/>
      <c r="AD115" s="132"/>
      <c r="AE115" s="132"/>
      <c r="AF115" s="132"/>
      <c r="AG115" s="132"/>
      <c r="AH115" s="132"/>
      <c r="AI115" s="133"/>
    </row>
    <row r="116" spans="1:35" x14ac:dyDescent="0.3">
      <c r="A116" s="134"/>
      <c r="B116" s="135"/>
      <c r="C116" s="135"/>
      <c r="D116" s="135"/>
      <c r="E116" s="135"/>
      <c r="F116" s="135"/>
      <c r="G116" s="135"/>
      <c r="H116" s="135"/>
      <c r="I116" s="135"/>
      <c r="J116" s="135"/>
      <c r="K116" s="135"/>
      <c r="L116" s="135"/>
      <c r="M116" s="135"/>
      <c r="N116" s="135"/>
      <c r="O116" s="135"/>
      <c r="P116" s="135"/>
      <c r="Q116" s="135"/>
      <c r="R116" s="135"/>
      <c r="S116" s="135"/>
      <c r="T116" s="135"/>
      <c r="U116" s="135"/>
      <c r="V116" s="135"/>
      <c r="W116" s="135"/>
      <c r="X116" s="135"/>
      <c r="Y116" s="135"/>
      <c r="Z116" s="135"/>
      <c r="AA116" s="135"/>
      <c r="AB116" s="135"/>
      <c r="AC116" s="135"/>
      <c r="AD116" s="135"/>
      <c r="AE116" s="135"/>
      <c r="AF116" s="135"/>
      <c r="AG116" s="135"/>
      <c r="AH116" s="135"/>
      <c r="AI116" s="136"/>
    </row>
    <row r="117" spans="1:35" x14ac:dyDescent="0.3">
      <c r="A117" s="134"/>
      <c r="B117" s="135"/>
      <c r="C117" s="135"/>
      <c r="D117" s="135"/>
      <c r="E117" s="135"/>
      <c r="F117" s="135"/>
      <c r="G117" s="135"/>
      <c r="H117" s="135"/>
      <c r="I117" s="135"/>
      <c r="J117" s="135"/>
      <c r="K117" s="135"/>
      <c r="L117" s="135"/>
      <c r="M117" s="135"/>
      <c r="N117" s="135"/>
      <c r="O117" s="135"/>
      <c r="P117" s="135"/>
      <c r="Q117" s="135"/>
      <c r="R117" s="135"/>
      <c r="S117" s="135"/>
      <c r="T117" s="135"/>
      <c r="U117" s="135"/>
      <c r="V117" s="135"/>
      <c r="W117" s="135"/>
      <c r="X117" s="135"/>
      <c r="Y117" s="135"/>
      <c r="Z117" s="135"/>
      <c r="AA117" s="135"/>
      <c r="AB117" s="135"/>
      <c r="AC117" s="135"/>
      <c r="AD117" s="135"/>
      <c r="AE117" s="135"/>
      <c r="AF117" s="135"/>
      <c r="AG117" s="135"/>
      <c r="AH117" s="135"/>
      <c r="AI117" s="136"/>
    </row>
    <row r="118" spans="1:35" x14ac:dyDescent="0.3">
      <c r="A118" s="134"/>
      <c r="B118" s="135"/>
      <c r="C118" s="135"/>
      <c r="D118" s="135"/>
      <c r="E118" s="135"/>
      <c r="F118" s="135"/>
      <c r="G118" s="135"/>
      <c r="H118" s="135"/>
      <c r="I118" s="135"/>
      <c r="J118" s="135"/>
      <c r="K118" s="135"/>
      <c r="L118" s="135"/>
      <c r="M118" s="135"/>
      <c r="N118" s="135"/>
      <c r="O118" s="135"/>
      <c r="P118" s="135"/>
      <c r="Q118" s="135"/>
      <c r="R118" s="135"/>
      <c r="S118" s="135"/>
      <c r="T118" s="135"/>
      <c r="U118" s="135"/>
      <c r="V118" s="135"/>
      <c r="W118" s="135"/>
      <c r="X118" s="135"/>
      <c r="Y118" s="135"/>
      <c r="Z118" s="135"/>
      <c r="AA118" s="135"/>
      <c r="AB118" s="135"/>
      <c r="AC118" s="135"/>
      <c r="AD118" s="135"/>
      <c r="AE118" s="135"/>
      <c r="AF118" s="135"/>
      <c r="AG118" s="135"/>
      <c r="AH118" s="135"/>
      <c r="AI118" s="136"/>
    </row>
    <row r="119" spans="1:35" x14ac:dyDescent="0.3">
      <c r="A119" s="134"/>
      <c r="B119" s="135"/>
      <c r="C119" s="135"/>
      <c r="D119" s="135"/>
      <c r="E119" s="135"/>
      <c r="F119" s="135"/>
      <c r="G119" s="135"/>
      <c r="H119" s="135"/>
      <c r="I119" s="135"/>
      <c r="J119" s="135"/>
      <c r="K119" s="135"/>
      <c r="L119" s="135"/>
      <c r="M119" s="135"/>
      <c r="N119" s="135"/>
      <c r="O119" s="135"/>
      <c r="P119" s="135"/>
      <c r="Q119" s="135"/>
      <c r="R119" s="135"/>
      <c r="S119" s="135"/>
      <c r="T119" s="135"/>
      <c r="U119" s="135"/>
      <c r="V119" s="135"/>
      <c r="W119" s="135"/>
      <c r="X119" s="135"/>
      <c r="Y119" s="135"/>
      <c r="Z119" s="135"/>
      <c r="AA119" s="135"/>
      <c r="AB119" s="135"/>
      <c r="AC119" s="135"/>
      <c r="AD119" s="135"/>
      <c r="AE119" s="135"/>
      <c r="AF119" s="135"/>
      <c r="AG119" s="135"/>
      <c r="AH119" s="135"/>
      <c r="AI119" s="136"/>
    </row>
    <row r="120" spans="1:35" x14ac:dyDescent="0.3">
      <c r="A120" s="134"/>
      <c r="B120" s="135"/>
      <c r="C120" s="135"/>
      <c r="D120" s="135"/>
      <c r="E120" s="135"/>
      <c r="F120" s="135"/>
      <c r="G120" s="135"/>
      <c r="H120" s="135"/>
      <c r="I120" s="135"/>
      <c r="J120" s="135"/>
      <c r="K120" s="135"/>
      <c r="L120" s="135"/>
      <c r="M120" s="135"/>
      <c r="N120" s="135"/>
      <c r="O120" s="135"/>
      <c r="P120" s="135"/>
      <c r="Q120" s="135"/>
      <c r="R120" s="135"/>
      <c r="S120" s="135"/>
      <c r="T120" s="135"/>
      <c r="U120" s="135"/>
      <c r="V120" s="135"/>
      <c r="W120" s="135"/>
      <c r="X120" s="135"/>
      <c r="Y120" s="135"/>
      <c r="Z120" s="135"/>
      <c r="AA120" s="135"/>
      <c r="AB120" s="135"/>
      <c r="AC120" s="135"/>
      <c r="AD120" s="148" t="s">
        <v>144</v>
      </c>
      <c r="AE120" s="149"/>
      <c r="AF120" s="149"/>
      <c r="AG120" s="149"/>
      <c r="AH120" s="149"/>
      <c r="AI120" s="136"/>
    </row>
    <row r="121" spans="1:35" x14ac:dyDescent="0.3">
      <c r="A121" s="134"/>
      <c r="B121" s="135"/>
      <c r="C121" s="135"/>
      <c r="D121" s="135"/>
      <c r="E121" s="135"/>
      <c r="F121" s="135"/>
      <c r="G121" s="135"/>
      <c r="H121" s="135"/>
      <c r="I121" s="135"/>
      <c r="J121" s="135"/>
      <c r="K121" s="135"/>
      <c r="L121" s="135"/>
      <c r="M121" s="135"/>
      <c r="N121" s="135"/>
      <c r="O121" s="135"/>
      <c r="P121" s="135"/>
      <c r="Q121" s="135"/>
      <c r="R121" s="135"/>
      <c r="S121" s="135"/>
      <c r="T121" s="135"/>
      <c r="U121" s="135"/>
      <c r="V121" s="135"/>
      <c r="W121" s="135"/>
      <c r="X121" s="135"/>
      <c r="Y121" s="135"/>
      <c r="Z121" s="135"/>
      <c r="AA121" s="135"/>
      <c r="AB121" s="135"/>
      <c r="AC121" s="135"/>
      <c r="AD121" s="149"/>
      <c r="AE121" s="149"/>
      <c r="AF121" s="149"/>
      <c r="AG121" s="149"/>
      <c r="AH121" s="149"/>
      <c r="AI121" s="136"/>
    </row>
    <row r="122" spans="1:35" x14ac:dyDescent="0.3">
      <c r="A122" s="134"/>
      <c r="B122" s="135"/>
      <c r="C122" s="135"/>
      <c r="D122" s="135"/>
      <c r="E122" s="135"/>
      <c r="F122" s="135"/>
      <c r="G122" s="135"/>
      <c r="H122" s="135"/>
      <c r="I122" s="135"/>
      <c r="J122" s="135"/>
      <c r="K122" s="135"/>
      <c r="L122" s="135"/>
      <c r="M122" s="135"/>
      <c r="N122" s="135"/>
      <c r="O122" s="135"/>
      <c r="P122" s="135"/>
      <c r="Q122" s="135"/>
      <c r="R122" s="135"/>
      <c r="S122" s="135"/>
      <c r="T122" s="135"/>
      <c r="U122" s="135"/>
      <c r="V122" s="135"/>
      <c r="W122" s="135"/>
      <c r="X122" s="135"/>
      <c r="Y122" s="135"/>
      <c r="Z122" s="135"/>
      <c r="AA122" s="135"/>
      <c r="AB122" s="135"/>
      <c r="AC122" s="135"/>
      <c r="AD122" s="149"/>
      <c r="AE122" s="149"/>
      <c r="AF122" s="149"/>
      <c r="AG122" s="149"/>
      <c r="AH122" s="149"/>
      <c r="AI122" s="136"/>
    </row>
    <row r="123" spans="1:35" x14ac:dyDescent="0.3">
      <c r="A123" s="134"/>
      <c r="B123" s="135"/>
      <c r="C123" s="135"/>
      <c r="D123" s="135"/>
      <c r="E123" s="135"/>
      <c r="F123" s="135"/>
      <c r="G123" s="135"/>
      <c r="H123" s="135"/>
      <c r="I123" s="135"/>
      <c r="J123" s="135"/>
      <c r="K123" s="135"/>
      <c r="L123" s="135"/>
      <c r="M123" s="135"/>
      <c r="N123" s="135"/>
      <c r="O123" s="135"/>
      <c r="P123" s="135"/>
      <c r="Q123" s="135"/>
      <c r="R123" s="135"/>
      <c r="S123" s="135"/>
      <c r="T123" s="135"/>
      <c r="U123" s="135"/>
      <c r="V123" s="135"/>
      <c r="W123" s="135"/>
      <c r="X123" s="135"/>
      <c r="Y123" s="135"/>
      <c r="Z123" s="135"/>
      <c r="AA123" s="135"/>
      <c r="AB123" s="135"/>
      <c r="AC123" s="135"/>
      <c r="AD123" s="149"/>
      <c r="AE123" s="149"/>
      <c r="AF123" s="149"/>
      <c r="AG123" s="149"/>
      <c r="AH123" s="149"/>
      <c r="AI123" s="136"/>
    </row>
    <row r="124" spans="1:35" x14ac:dyDescent="0.3">
      <c r="A124" s="134"/>
      <c r="B124" s="135"/>
      <c r="C124" s="135"/>
      <c r="D124" s="135"/>
      <c r="E124" s="135"/>
      <c r="F124" s="135"/>
      <c r="G124" s="135"/>
      <c r="H124" s="135"/>
      <c r="I124" s="135"/>
      <c r="J124" s="135"/>
      <c r="K124" s="135"/>
      <c r="L124" s="135"/>
      <c r="M124" s="135"/>
      <c r="N124" s="135"/>
      <c r="O124" s="135"/>
      <c r="P124" s="135"/>
      <c r="Q124" s="135"/>
      <c r="R124" s="135"/>
      <c r="S124" s="135"/>
      <c r="T124" s="135"/>
      <c r="U124" s="135"/>
      <c r="V124" s="135"/>
      <c r="W124" s="135"/>
      <c r="X124" s="135"/>
      <c r="Y124" s="135"/>
      <c r="Z124" s="135"/>
      <c r="AA124" s="135"/>
      <c r="AB124" s="135"/>
      <c r="AC124" s="135"/>
      <c r="AD124" s="149"/>
      <c r="AE124" s="149"/>
      <c r="AF124" s="149"/>
      <c r="AG124" s="149"/>
      <c r="AH124" s="149"/>
      <c r="AI124" s="136"/>
    </row>
    <row r="125" spans="1:35" x14ac:dyDescent="0.3">
      <c r="A125" s="134"/>
      <c r="B125" s="135"/>
      <c r="C125" s="135"/>
      <c r="D125" s="135"/>
      <c r="E125" s="135"/>
      <c r="F125" s="135"/>
      <c r="G125" s="135"/>
      <c r="H125" s="135"/>
      <c r="I125" s="135"/>
      <c r="J125" s="135"/>
      <c r="K125" s="135"/>
      <c r="L125" s="135"/>
      <c r="M125" s="135"/>
      <c r="N125" s="135"/>
      <c r="O125" s="135"/>
      <c r="P125" s="135"/>
      <c r="Q125" s="135"/>
      <c r="R125" s="135"/>
      <c r="S125" s="135"/>
      <c r="T125" s="135"/>
      <c r="U125" s="135"/>
      <c r="V125" s="135"/>
      <c r="W125" s="135"/>
      <c r="X125" s="135"/>
      <c r="Y125" s="135"/>
      <c r="Z125" s="135"/>
      <c r="AA125" s="135"/>
      <c r="AB125" s="135"/>
      <c r="AC125" s="135"/>
      <c r="AD125" s="149"/>
      <c r="AE125" s="149"/>
      <c r="AF125" s="149"/>
      <c r="AG125" s="149"/>
      <c r="AH125" s="149"/>
      <c r="AI125" s="136"/>
    </row>
    <row r="126" spans="1:35" x14ac:dyDescent="0.3">
      <c r="A126" s="134"/>
      <c r="B126" s="135"/>
      <c r="C126" s="135"/>
      <c r="D126" s="135"/>
      <c r="E126" s="135"/>
      <c r="F126" s="135"/>
      <c r="G126" s="135"/>
      <c r="H126" s="135"/>
      <c r="I126" s="135"/>
      <c r="J126" s="135"/>
      <c r="K126" s="135"/>
      <c r="L126" s="135"/>
      <c r="M126" s="135"/>
      <c r="N126" s="135"/>
      <c r="O126" s="135"/>
      <c r="P126" s="135"/>
      <c r="Q126" s="135"/>
      <c r="R126" s="135"/>
      <c r="S126" s="135"/>
      <c r="T126" s="135"/>
      <c r="U126" s="135"/>
      <c r="V126" s="135"/>
      <c r="W126" s="135"/>
      <c r="X126" s="135"/>
      <c r="Y126" s="135"/>
      <c r="Z126" s="135"/>
      <c r="AA126" s="135"/>
      <c r="AB126" s="135"/>
      <c r="AC126" s="135"/>
      <c r="AD126" s="149"/>
      <c r="AE126" s="149"/>
      <c r="AF126" s="149"/>
      <c r="AG126" s="149"/>
      <c r="AH126" s="149"/>
      <c r="AI126" s="136"/>
    </row>
    <row r="127" spans="1:35" x14ac:dyDescent="0.3">
      <c r="A127" s="134"/>
      <c r="B127" s="135"/>
      <c r="C127" s="135"/>
      <c r="D127" s="135"/>
      <c r="E127" s="135"/>
      <c r="F127" s="135"/>
      <c r="G127" s="135"/>
      <c r="H127" s="135"/>
      <c r="I127" s="135"/>
      <c r="J127" s="135"/>
      <c r="K127" s="135"/>
      <c r="L127" s="135"/>
      <c r="M127" s="135"/>
      <c r="N127" s="135"/>
      <c r="O127" s="135"/>
      <c r="P127" s="135"/>
      <c r="Q127" s="135"/>
      <c r="R127" s="135"/>
      <c r="S127" s="135"/>
      <c r="T127" s="135"/>
      <c r="U127" s="135"/>
      <c r="V127" s="135"/>
      <c r="W127" s="135"/>
      <c r="X127" s="135"/>
      <c r="Y127" s="135"/>
      <c r="Z127" s="135"/>
      <c r="AA127" s="135"/>
      <c r="AB127" s="135"/>
      <c r="AC127" s="135"/>
      <c r="AD127" s="135"/>
      <c r="AE127" s="135"/>
      <c r="AF127" s="135"/>
      <c r="AG127" s="135"/>
      <c r="AH127" s="135"/>
      <c r="AI127" s="136"/>
    </row>
    <row r="128" spans="1:35" x14ac:dyDescent="0.3">
      <c r="A128" s="134"/>
      <c r="B128" s="135"/>
      <c r="C128" s="135"/>
      <c r="D128" s="135"/>
      <c r="E128" s="135"/>
      <c r="F128" s="135"/>
      <c r="G128" s="135"/>
      <c r="H128" s="135"/>
      <c r="I128" s="135"/>
      <c r="J128" s="135"/>
      <c r="K128" s="135"/>
      <c r="L128" s="135"/>
      <c r="M128" s="135"/>
      <c r="N128" s="135"/>
      <c r="O128" s="135"/>
      <c r="P128" s="135"/>
      <c r="Q128" s="135"/>
      <c r="R128" s="135"/>
      <c r="S128" s="135"/>
      <c r="T128" s="135"/>
      <c r="U128" s="135"/>
      <c r="V128" s="135"/>
      <c r="W128" s="135"/>
      <c r="X128" s="135"/>
      <c r="Y128" s="135"/>
      <c r="Z128" s="135"/>
      <c r="AA128" s="135"/>
      <c r="AB128" s="135"/>
      <c r="AC128" s="135"/>
      <c r="AD128" s="135"/>
      <c r="AE128" s="135"/>
      <c r="AF128" s="135"/>
      <c r="AG128" s="135"/>
      <c r="AH128" s="135"/>
      <c r="AI128" s="136"/>
    </row>
    <row r="129" spans="1:35" x14ac:dyDescent="0.3">
      <c r="A129" s="134"/>
      <c r="B129" s="135"/>
      <c r="C129" s="135"/>
      <c r="D129" s="135"/>
      <c r="E129" s="135"/>
      <c r="F129" s="135"/>
      <c r="G129" s="135"/>
      <c r="H129" s="135"/>
      <c r="I129" s="135"/>
      <c r="J129" s="135"/>
      <c r="K129" s="135"/>
      <c r="L129" s="135"/>
      <c r="M129" s="135"/>
      <c r="N129" s="135"/>
      <c r="O129" s="135"/>
      <c r="P129" s="135"/>
      <c r="Q129" s="135"/>
      <c r="R129" s="135"/>
      <c r="S129" s="135"/>
      <c r="T129" s="135"/>
      <c r="U129" s="135"/>
      <c r="V129" s="135"/>
      <c r="W129" s="135"/>
      <c r="X129" s="135"/>
      <c r="Y129" s="135"/>
      <c r="Z129" s="135"/>
      <c r="AA129" s="135"/>
      <c r="AB129" s="135"/>
      <c r="AC129" s="135"/>
      <c r="AD129" s="135"/>
      <c r="AE129" s="135"/>
      <c r="AF129" s="135"/>
      <c r="AG129" s="135"/>
      <c r="AH129" s="135"/>
      <c r="AI129" s="136"/>
    </row>
    <row r="130" spans="1:35" ht="16.2" thickBot="1" x14ac:dyDescent="0.35">
      <c r="A130" s="137"/>
      <c r="B130" s="138"/>
      <c r="C130" s="138"/>
      <c r="D130" s="138"/>
      <c r="E130" s="138"/>
      <c r="F130" s="138"/>
      <c r="G130" s="138"/>
      <c r="H130" s="138"/>
      <c r="I130" s="138"/>
      <c r="J130" s="138"/>
      <c r="K130" s="138"/>
      <c r="L130" s="138"/>
      <c r="M130" s="138"/>
      <c r="N130" s="138"/>
      <c r="O130" s="138"/>
      <c r="P130" s="138"/>
      <c r="Q130" s="138"/>
      <c r="R130" s="138"/>
      <c r="S130" s="138"/>
      <c r="T130" s="138"/>
      <c r="U130" s="138"/>
      <c r="V130" s="138"/>
      <c r="W130" s="138"/>
      <c r="X130" s="138"/>
      <c r="Y130" s="138"/>
      <c r="Z130" s="138"/>
      <c r="AA130" s="138"/>
      <c r="AB130" s="138"/>
      <c r="AC130" s="138"/>
      <c r="AD130" s="138"/>
      <c r="AE130" s="138"/>
      <c r="AF130" s="138"/>
      <c r="AG130" s="138"/>
      <c r="AH130" s="138"/>
      <c r="AI130" s="139"/>
    </row>
    <row r="131" spans="1:35" x14ac:dyDescent="0.3">
      <c r="A131" s="131"/>
      <c r="B131" s="132"/>
      <c r="C131" s="132"/>
      <c r="D131" s="132"/>
      <c r="E131" s="132"/>
      <c r="F131" s="132"/>
      <c r="G131" s="132"/>
      <c r="H131" s="132"/>
      <c r="I131" s="132"/>
      <c r="J131" s="132"/>
      <c r="K131" s="132"/>
      <c r="L131" s="132"/>
      <c r="M131" s="132"/>
      <c r="N131" s="132"/>
      <c r="O131" s="132"/>
      <c r="P131" s="132"/>
      <c r="Q131" s="132"/>
      <c r="R131" s="132"/>
      <c r="S131" s="132"/>
      <c r="T131" s="132"/>
      <c r="U131" s="132"/>
      <c r="V131" s="132"/>
      <c r="W131" s="132"/>
      <c r="X131" s="132"/>
      <c r="Y131" s="132"/>
      <c r="Z131" s="132"/>
      <c r="AA131" s="132"/>
      <c r="AB131" s="132"/>
      <c r="AC131" s="132"/>
      <c r="AD131" s="132"/>
      <c r="AE131" s="132"/>
      <c r="AF131" s="132"/>
      <c r="AG131" s="132"/>
      <c r="AH131" s="132"/>
      <c r="AI131" s="133"/>
    </row>
    <row r="132" spans="1:35" x14ac:dyDescent="0.3">
      <c r="A132" s="134"/>
      <c r="B132" s="135"/>
      <c r="C132" s="135"/>
      <c r="D132" s="135"/>
      <c r="E132" s="135"/>
      <c r="F132" s="135"/>
      <c r="G132" s="135"/>
      <c r="H132" s="135"/>
      <c r="I132" s="135"/>
      <c r="J132" s="135"/>
      <c r="K132" s="135"/>
      <c r="L132" s="135"/>
      <c r="M132" s="135"/>
      <c r="N132" s="135"/>
      <c r="O132" s="135"/>
      <c r="P132" s="135"/>
      <c r="Q132" s="135"/>
      <c r="R132" s="135"/>
      <c r="S132" s="135"/>
      <c r="T132" s="135"/>
      <c r="U132" s="135"/>
      <c r="V132" s="135"/>
      <c r="W132" s="135"/>
      <c r="X132" s="135"/>
      <c r="Y132" s="135"/>
      <c r="Z132" s="135"/>
      <c r="AA132" s="135"/>
      <c r="AB132" s="135"/>
      <c r="AC132" s="135"/>
      <c r="AD132" s="135"/>
      <c r="AE132" s="135"/>
      <c r="AF132" s="135"/>
      <c r="AG132" s="135"/>
      <c r="AH132" s="135"/>
      <c r="AI132" s="136"/>
    </row>
    <row r="133" spans="1:35" x14ac:dyDescent="0.3">
      <c r="A133" s="134"/>
      <c r="B133" s="135"/>
      <c r="C133" s="135"/>
      <c r="D133" s="135"/>
      <c r="E133" s="135"/>
      <c r="F133" s="135"/>
      <c r="G133" s="135"/>
      <c r="H133" s="135"/>
      <c r="I133" s="135"/>
      <c r="J133" s="135"/>
      <c r="K133" s="135"/>
      <c r="L133" s="135"/>
      <c r="M133" s="135"/>
      <c r="N133" s="135"/>
      <c r="O133" s="135"/>
      <c r="P133" s="135"/>
      <c r="Q133" s="135"/>
      <c r="R133" s="135"/>
      <c r="S133" s="135"/>
      <c r="T133" s="135"/>
      <c r="U133" s="135"/>
      <c r="V133" s="135"/>
      <c r="W133" s="135"/>
      <c r="X133" s="135"/>
      <c r="Y133" s="135"/>
      <c r="Z133" s="135"/>
      <c r="AA133" s="135"/>
      <c r="AB133" s="135"/>
      <c r="AC133" s="135"/>
      <c r="AD133" s="135"/>
      <c r="AE133" s="135"/>
      <c r="AF133" s="135"/>
      <c r="AG133" s="135"/>
      <c r="AH133" s="135"/>
      <c r="AI133" s="136"/>
    </row>
    <row r="134" spans="1:35" x14ac:dyDescent="0.3">
      <c r="A134" s="134"/>
      <c r="B134" s="135"/>
      <c r="C134" s="135"/>
      <c r="D134" s="135"/>
      <c r="E134" s="135"/>
      <c r="F134" s="135"/>
      <c r="G134" s="135"/>
      <c r="H134" s="135"/>
      <c r="I134" s="135"/>
      <c r="J134" s="135"/>
      <c r="K134" s="135"/>
      <c r="L134" s="135"/>
      <c r="M134" s="135"/>
      <c r="N134" s="135"/>
      <c r="O134" s="135"/>
      <c r="P134" s="135"/>
      <c r="Q134" s="135"/>
      <c r="R134" s="135"/>
      <c r="S134" s="135"/>
      <c r="T134" s="135"/>
      <c r="U134" s="135"/>
      <c r="V134" s="135"/>
      <c r="W134" s="135"/>
      <c r="X134" s="135"/>
      <c r="Y134" s="135"/>
      <c r="Z134" s="135"/>
      <c r="AA134" s="135"/>
      <c r="AB134" s="135"/>
      <c r="AC134" s="135"/>
      <c r="AD134" s="135"/>
      <c r="AE134" s="135"/>
      <c r="AF134" s="135"/>
      <c r="AG134" s="135"/>
      <c r="AH134" s="135"/>
      <c r="AI134" s="136"/>
    </row>
    <row r="135" spans="1:35" x14ac:dyDescent="0.3">
      <c r="A135" s="134"/>
      <c r="B135" s="135"/>
      <c r="C135" s="135"/>
      <c r="D135" s="135"/>
      <c r="E135" s="135"/>
      <c r="F135" s="135"/>
      <c r="G135" s="135"/>
      <c r="H135" s="135"/>
      <c r="I135" s="135"/>
      <c r="J135" s="135"/>
      <c r="K135" s="135"/>
      <c r="L135" s="135"/>
      <c r="M135" s="135"/>
      <c r="N135" s="135"/>
      <c r="O135" s="135"/>
      <c r="P135" s="135"/>
      <c r="Q135" s="135"/>
      <c r="R135" s="135"/>
      <c r="S135" s="135"/>
      <c r="T135" s="135"/>
      <c r="U135" s="135"/>
      <c r="V135" s="135"/>
      <c r="W135" s="135"/>
      <c r="X135" s="135"/>
      <c r="Y135" s="135"/>
      <c r="Z135" s="135"/>
      <c r="AA135" s="135"/>
      <c r="AB135" s="135"/>
      <c r="AC135" s="135"/>
      <c r="AD135" s="148" t="s">
        <v>145</v>
      </c>
      <c r="AE135" s="149"/>
      <c r="AF135" s="149"/>
      <c r="AG135" s="149"/>
      <c r="AH135" s="149"/>
      <c r="AI135" s="136"/>
    </row>
    <row r="136" spans="1:35" x14ac:dyDescent="0.3">
      <c r="A136" s="134"/>
      <c r="B136" s="135"/>
      <c r="C136" s="135"/>
      <c r="D136" s="135"/>
      <c r="E136" s="135"/>
      <c r="F136" s="135"/>
      <c r="G136" s="135"/>
      <c r="H136" s="135"/>
      <c r="I136" s="135"/>
      <c r="J136" s="135"/>
      <c r="K136" s="135"/>
      <c r="L136" s="135"/>
      <c r="M136" s="135"/>
      <c r="N136" s="135"/>
      <c r="O136" s="135"/>
      <c r="P136" s="135"/>
      <c r="Q136" s="135"/>
      <c r="R136" s="135"/>
      <c r="S136" s="135"/>
      <c r="T136" s="135"/>
      <c r="U136" s="135"/>
      <c r="V136" s="135"/>
      <c r="W136" s="135"/>
      <c r="X136" s="135"/>
      <c r="Y136" s="135"/>
      <c r="Z136" s="135"/>
      <c r="AA136" s="135"/>
      <c r="AB136" s="135"/>
      <c r="AC136" s="135"/>
      <c r="AD136" s="149"/>
      <c r="AE136" s="149"/>
      <c r="AF136" s="149"/>
      <c r="AG136" s="149"/>
      <c r="AH136" s="149"/>
      <c r="AI136" s="136"/>
    </row>
    <row r="137" spans="1:35" x14ac:dyDescent="0.3">
      <c r="A137" s="134"/>
      <c r="B137" s="135"/>
      <c r="C137" s="135"/>
      <c r="D137" s="135"/>
      <c r="E137" s="135"/>
      <c r="F137" s="135"/>
      <c r="G137" s="135"/>
      <c r="H137" s="135"/>
      <c r="I137" s="135"/>
      <c r="J137" s="135"/>
      <c r="K137" s="135"/>
      <c r="L137" s="135"/>
      <c r="M137" s="135"/>
      <c r="N137" s="135"/>
      <c r="O137" s="135"/>
      <c r="P137" s="135"/>
      <c r="Q137" s="135"/>
      <c r="R137" s="135"/>
      <c r="S137" s="135"/>
      <c r="T137" s="135"/>
      <c r="U137" s="135"/>
      <c r="V137" s="135"/>
      <c r="W137" s="135"/>
      <c r="X137" s="135"/>
      <c r="Y137" s="135"/>
      <c r="Z137" s="135"/>
      <c r="AA137" s="135"/>
      <c r="AB137" s="135"/>
      <c r="AC137" s="135"/>
      <c r="AD137" s="149"/>
      <c r="AE137" s="149"/>
      <c r="AF137" s="149"/>
      <c r="AG137" s="149"/>
      <c r="AH137" s="149"/>
      <c r="AI137" s="136"/>
    </row>
    <row r="138" spans="1:35" x14ac:dyDescent="0.3">
      <c r="A138" s="134"/>
      <c r="B138" s="135"/>
      <c r="C138" s="135"/>
      <c r="D138" s="135"/>
      <c r="E138" s="135"/>
      <c r="F138" s="135"/>
      <c r="G138" s="135"/>
      <c r="H138" s="135"/>
      <c r="I138" s="135"/>
      <c r="J138" s="135"/>
      <c r="K138" s="135"/>
      <c r="L138" s="135"/>
      <c r="M138" s="135"/>
      <c r="N138" s="135"/>
      <c r="O138" s="135"/>
      <c r="P138" s="135"/>
      <c r="Q138" s="135"/>
      <c r="R138" s="135"/>
      <c r="S138" s="135"/>
      <c r="T138" s="135"/>
      <c r="U138" s="135"/>
      <c r="V138" s="135"/>
      <c r="W138" s="135"/>
      <c r="X138" s="135"/>
      <c r="Y138" s="135"/>
      <c r="Z138" s="135"/>
      <c r="AA138" s="135"/>
      <c r="AB138" s="135"/>
      <c r="AC138" s="135"/>
      <c r="AD138" s="149"/>
      <c r="AE138" s="149"/>
      <c r="AF138" s="149"/>
      <c r="AG138" s="149"/>
      <c r="AH138" s="149"/>
      <c r="AI138" s="136"/>
    </row>
    <row r="139" spans="1:35" x14ac:dyDescent="0.3">
      <c r="A139" s="134"/>
      <c r="B139" s="135"/>
      <c r="C139" s="135"/>
      <c r="D139" s="135"/>
      <c r="E139" s="135"/>
      <c r="F139" s="135"/>
      <c r="G139" s="135"/>
      <c r="H139" s="135"/>
      <c r="I139" s="135"/>
      <c r="J139" s="135"/>
      <c r="K139" s="135"/>
      <c r="L139" s="135"/>
      <c r="M139" s="135"/>
      <c r="N139" s="135"/>
      <c r="O139" s="135"/>
      <c r="P139" s="135"/>
      <c r="Q139" s="135"/>
      <c r="R139" s="135"/>
      <c r="S139" s="135"/>
      <c r="T139" s="135"/>
      <c r="U139" s="135"/>
      <c r="V139" s="135"/>
      <c r="W139" s="135"/>
      <c r="X139" s="135"/>
      <c r="Y139" s="135"/>
      <c r="Z139" s="135"/>
      <c r="AA139" s="135"/>
      <c r="AB139" s="135"/>
      <c r="AC139" s="135"/>
      <c r="AD139" s="149"/>
      <c r="AE139" s="149"/>
      <c r="AF139" s="149"/>
      <c r="AG139" s="149"/>
      <c r="AH139" s="149"/>
      <c r="AI139" s="136"/>
    </row>
    <row r="140" spans="1:35" x14ac:dyDescent="0.3">
      <c r="A140" s="134"/>
      <c r="B140" s="135"/>
      <c r="C140" s="135"/>
      <c r="D140" s="135"/>
      <c r="E140" s="135"/>
      <c r="F140" s="135"/>
      <c r="G140" s="135"/>
      <c r="H140" s="135"/>
      <c r="I140" s="135"/>
      <c r="J140" s="135"/>
      <c r="K140" s="135"/>
      <c r="L140" s="135"/>
      <c r="M140" s="135"/>
      <c r="N140" s="135"/>
      <c r="O140" s="135"/>
      <c r="P140" s="135"/>
      <c r="Q140" s="135"/>
      <c r="R140" s="135"/>
      <c r="S140" s="135"/>
      <c r="T140" s="135"/>
      <c r="U140" s="135"/>
      <c r="V140" s="135"/>
      <c r="W140" s="135"/>
      <c r="X140" s="135"/>
      <c r="Y140" s="135"/>
      <c r="Z140" s="135"/>
      <c r="AA140" s="135"/>
      <c r="AB140" s="135"/>
      <c r="AC140" s="135"/>
      <c r="AD140" s="149"/>
      <c r="AE140" s="149"/>
      <c r="AF140" s="149"/>
      <c r="AG140" s="149"/>
      <c r="AH140" s="149"/>
      <c r="AI140" s="136"/>
    </row>
    <row r="141" spans="1:35" x14ac:dyDescent="0.3">
      <c r="A141" s="134"/>
      <c r="B141" s="135"/>
      <c r="C141" s="135"/>
      <c r="D141" s="135"/>
      <c r="E141" s="135"/>
      <c r="F141" s="135"/>
      <c r="G141" s="135"/>
      <c r="H141" s="135"/>
      <c r="I141" s="135"/>
      <c r="J141" s="135"/>
      <c r="K141" s="135"/>
      <c r="L141" s="135"/>
      <c r="M141" s="135"/>
      <c r="N141" s="135"/>
      <c r="O141" s="135"/>
      <c r="P141" s="135"/>
      <c r="Q141" s="135"/>
      <c r="R141" s="135"/>
      <c r="S141" s="135"/>
      <c r="T141" s="135"/>
      <c r="U141" s="135"/>
      <c r="V141" s="135"/>
      <c r="W141" s="135"/>
      <c r="X141" s="135"/>
      <c r="Y141" s="135"/>
      <c r="Z141" s="135"/>
      <c r="AA141" s="135"/>
      <c r="AB141" s="135"/>
      <c r="AC141" s="135"/>
      <c r="AD141" s="149"/>
      <c r="AE141" s="149"/>
      <c r="AF141" s="149"/>
      <c r="AG141" s="149"/>
      <c r="AH141" s="149"/>
      <c r="AI141" s="136"/>
    </row>
    <row r="142" spans="1:35" x14ac:dyDescent="0.3">
      <c r="A142" s="134"/>
      <c r="B142" s="135"/>
      <c r="C142" s="135"/>
      <c r="D142" s="135"/>
      <c r="E142" s="135"/>
      <c r="F142" s="135"/>
      <c r="G142" s="135"/>
      <c r="H142" s="135"/>
      <c r="I142" s="135"/>
      <c r="J142" s="135"/>
      <c r="K142" s="135"/>
      <c r="L142" s="135"/>
      <c r="M142" s="135"/>
      <c r="N142" s="135"/>
      <c r="O142" s="135"/>
      <c r="P142" s="135"/>
      <c r="Q142" s="135"/>
      <c r="R142" s="135"/>
      <c r="S142" s="135"/>
      <c r="T142" s="135"/>
      <c r="U142" s="135"/>
      <c r="V142" s="135"/>
      <c r="W142" s="135"/>
      <c r="X142" s="135"/>
      <c r="Y142" s="135"/>
      <c r="Z142" s="135"/>
      <c r="AA142" s="135"/>
      <c r="AB142" s="135"/>
      <c r="AC142" s="135"/>
      <c r="AD142" s="135"/>
      <c r="AE142" s="135"/>
      <c r="AF142" s="135"/>
      <c r="AG142" s="135"/>
      <c r="AH142" s="135"/>
      <c r="AI142" s="136"/>
    </row>
    <row r="143" spans="1:35" x14ac:dyDescent="0.3">
      <c r="A143" s="134"/>
      <c r="B143" s="135"/>
      <c r="C143" s="135"/>
      <c r="D143" s="135"/>
      <c r="E143" s="135"/>
      <c r="F143" s="135"/>
      <c r="G143" s="135"/>
      <c r="H143" s="135"/>
      <c r="I143" s="135"/>
      <c r="J143" s="135"/>
      <c r="K143" s="135"/>
      <c r="L143" s="135"/>
      <c r="M143" s="135"/>
      <c r="N143" s="135"/>
      <c r="O143" s="135"/>
      <c r="P143" s="135"/>
      <c r="Q143" s="135"/>
      <c r="R143" s="135"/>
      <c r="S143" s="135"/>
      <c r="T143" s="135"/>
      <c r="U143" s="135"/>
      <c r="V143" s="135"/>
      <c r="W143" s="135"/>
      <c r="X143" s="135"/>
      <c r="Y143" s="135"/>
      <c r="Z143" s="135"/>
      <c r="AA143" s="135"/>
      <c r="AB143" s="135"/>
      <c r="AC143" s="135"/>
      <c r="AD143" s="135"/>
      <c r="AE143" s="135"/>
      <c r="AF143" s="135"/>
      <c r="AG143" s="135"/>
      <c r="AH143" s="135"/>
      <c r="AI143" s="136"/>
    </row>
    <row r="144" spans="1:35" x14ac:dyDescent="0.3">
      <c r="A144" s="134"/>
      <c r="B144" s="135"/>
      <c r="C144" s="135"/>
      <c r="D144" s="135"/>
      <c r="E144" s="135"/>
      <c r="F144" s="135"/>
      <c r="G144" s="135"/>
      <c r="H144" s="135"/>
      <c r="I144" s="135"/>
      <c r="J144" s="135"/>
      <c r="K144" s="135"/>
      <c r="L144" s="135"/>
      <c r="M144" s="135"/>
      <c r="N144" s="135"/>
      <c r="O144" s="135"/>
      <c r="P144" s="135"/>
      <c r="Q144" s="135"/>
      <c r="R144" s="135"/>
      <c r="S144" s="135"/>
      <c r="T144" s="135"/>
      <c r="U144" s="135"/>
      <c r="V144" s="135"/>
      <c r="W144" s="135"/>
      <c r="X144" s="135"/>
      <c r="Y144" s="135"/>
      <c r="Z144" s="135"/>
      <c r="AA144" s="135"/>
      <c r="AB144" s="135"/>
      <c r="AC144" s="135"/>
      <c r="AD144" s="135"/>
      <c r="AE144" s="135"/>
      <c r="AF144" s="135"/>
      <c r="AG144" s="135"/>
      <c r="AH144" s="135"/>
      <c r="AI144" s="136"/>
    </row>
    <row r="145" spans="1:35" x14ac:dyDescent="0.3">
      <c r="A145" s="134"/>
      <c r="B145" s="135"/>
      <c r="C145" s="135"/>
      <c r="D145" s="135"/>
      <c r="E145" s="135"/>
      <c r="F145" s="135"/>
      <c r="G145" s="135"/>
      <c r="H145" s="135"/>
      <c r="I145" s="135"/>
      <c r="J145" s="135"/>
      <c r="K145" s="135"/>
      <c r="L145" s="135"/>
      <c r="M145" s="135"/>
      <c r="N145" s="135"/>
      <c r="O145" s="135"/>
      <c r="P145" s="135"/>
      <c r="Q145" s="135"/>
      <c r="R145" s="135"/>
      <c r="S145" s="135"/>
      <c r="T145" s="135"/>
      <c r="U145" s="135"/>
      <c r="V145" s="135"/>
      <c r="W145" s="135"/>
      <c r="X145" s="135"/>
      <c r="Y145" s="135"/>
      <c r="Z145" s="135"/>
      <c r="AA145" s="135"/>
      <c r="AB145" s="135"/>
      <c r="AC145" s="135"/>
      <c r="AD145" s="135"/>
      <c r="AE145" s="135"/>
      <c r="AF145" s="135"/>
      <c r="AG145" s="135"/>
      <c r="AH145" s="135"/>
      <c r="AI145" s="136"/>
    </row>
    <row r="146" spans="1:35" ht="16.2" thickBot="1" x14ac:dyDescent="0.35">
      <c r="A146" s="137"/>
      <c r="B146" s="138"/>
      <c r="C146" s="138"/>
      <c r="D146" s="138"/>
      <c r="E146" s="138"/>
      <c r="F146" s="138"/>
      <c r="G146" s="138"/>
      <c r="H146" s="138"/>
      <c r="I146" s="138"/>
      <c r="J146" s="138"/>
      <c r="K146" s="138"/>
      <c r="L146" s="138"/>
      <c r="M146" s="138"/>
      <c r="N146" s="138"/>
      <c r="O146" s="138"/>
      <c r="P146" s="138"/>
      <c r="Q146" s="138"/>
      <c r="R146" s="138"/>
      <c r="S146" s="138"/>
      <c r="T146" s="138"/>
      <c r="U146" s="138"/>
      <c r="V146" s="138"/>
      <c r="W146" s="138"/>
      <c r="X146" s="138"/>
      <c r="Y146" s="138"/>
      <c r="Z146" s="138"/>
      <c r="AA146" s="138"/>
      <c r="AB146" s="138"/>
      <c r="AC146" s="138"/>
      <c r="AD146" s="138"/>
      <c r="AE146" s="138"/>
      <c r="AF146" s="138"/>
      <c r="AG146" s="138"/>
      <c r="AH146" s="138"/>
      <c r="AI146" s="139"/>
    </row>
    <row r="147" spans="1:35" x14ac:dyDescent="0.3">
      <c r="A147" s="131"/>
      <c r="B147" s="132"/>
      <c r="C147" s="132"/>
      <c r="D147" s="132"/>
      <c r="E147" s="132"/>
      <c r="F147" s="132"/>
      <c r="G147" s="132"/>
      <c r="H147" s="132"/>
      <c r="I147" s="132"/>
      <c r="J147" s="132"/>
      <c r="K147" s="132"/>
      <c r="L147" s="132"/>
      <c r="M147" s="132"/>
      <c r="N147" s="132"/>
      <c r="O147" s="132"/>
      <c r="P147" s="132"/>
      <c r="Q147" s="132"/>
      <c r="R147" s="132"/>
      <c r="S147" s="132"/>
      <c r="T147" s="132"/>
      <c r="U147" s="132"/>
      <c r="V147" s="132"/>
      <c r="W147" s="132"/>
      <c r="X147" s="132"/>
      <c r="Y147" s="132"/>
      <c r="Z147" s="132"/>
      <c r="AA147" s="132"/>
      <c r="AB147" s="132"/>
      <c r="AC147" s="132"/>
      <c r="AD147" s="132"/>
      <c r="AE147" s="132"/>
      <c r="AF147" s="132"/>
      <c r="AG147" s="132"/>
      <c r="AH147" s="132"/>
      <c r="AI147" s="133"/>
    </row>
    <row r="148" spans="1:35" x14ac:dyDescent="0.3">
      <c r="A148" s="134"/>
      <c r="B148" s="135"/>
      <c r="C148" s="135"/>
      <c r="D148" s="135"/>
      <c r="E148" s="135"/>
      <c r="F148" s="135"/>
      <c r="G148" s="135"/>
      <c r="H148" s="135"/>
      <c r="I148" s="135"/>
      <c r="J148" s="135"/>
      <c r="K148" s="135"/>
      <c r="L148" s="135"/>
      <c r="M148" s="135"/>
      <c r="N148" s="135"/>
      <c r="O148" s="135"/>
      <c r="P148" s="135"/>
      <c r="Q148" s="135"/>
      <c r="R148" s="135"/>
      <c r="S148" s="135"/>
      <c r="T148" s="135"/>
      <c r="U148" s="135"/>
      <c r="V148" s="135"/>
      <c r="W148" s="135"/>
      <c r="X148" s="135"/>
      <c r="Y148" s="135"/>
      <c r="Z148" s="135"/>
      <c r="AA148" s="135"/>
      <c r="AB148" s="135"/>
      <c r="AC148" s="135"/>
      <c r="AD148" s="135"/>
      <c r="AE148" s="135"/>
      <c r="AF148" s="135"/>
      <c r="AG148" s="135"/>
      <c r="AH148" s="135"/>
      <c r="AI148" s="136"/>
    </row>
    <row r="149" spans="1:35" x14ac:dyDescent="0.3">
      <c r="A149" s="134"/>
      <c r="B149" s="135"/>
      <c r="C149" s="135"/>
      <c r="D149" s="135"/>
      <c r="E149" s="135"/>
      <c r="F149" s="135"/>
      <c r="G149" s="135"/>
      <c r="H149" s="135"/>
      <c r="I149" s="135"/>
      <c r="J149" s="135"/>
      <c r="K149" s="135"/>
      <c r="L149" s="135"/>
      <c r="M149" s="135"/>
      <c r="N149" s="135"/>
      <c r="O149" s="135"/>
      <c r="P149" s="135"/>
      <c r="Q149" s="135"/>
      <c r="R149" s="135"/>
      <c r="S149" s="135"/>
      <c r="T149" s="135"/>
      <c r="U149" s="135"/>
      <c r="V149" s="135"/>
      <c r="W149" s="135"/>
      <c r="X149" s="135"/>
      <c r="Y149" s="135"/>
      <c r="Z149" s="135"/>
      <c r="AA149" s="135"/>
      <c r="AB149" s="135"/>
      <c r="AC149" s="135"/>
      <c r="AD149" s="135"/>
      <c r="AE149" s="135"/>
      <c r="AF149" s="135"/>
      <c r="AG149" s="135"/>
      <c r="AH149" s="135"/>
      <c r="AI149" s="136"/>
    </row>
    <row r="150" spans="1:35" x14ac:dyDescent="0.3">
      <c r="A150" s="134"/>
      <c r="B150" s="135"/>
      <c r="C150" s="135"/>
      <c r="D150" s="135"/>
      <c r="E150" s="135"/>
      <c r="F150" s="135"/>
      <c r="G150" s="135"/>
      <c r="H150" s="135"/>
      <c r="I150" s="135"/>
      <c r="J150" s="135"/>
      <c r="K150" s="135"/>
      <c r="L150" s="135"/>
      <c r="M150" s="135"/>
      <c r="N150" s="135"/>
      <c r="O150" s="135"/>
      <c r="P150" s="135"/>
      <c r="Q150" s="135"/>
      <c r="R150" s="135"/>
      <c r="S150" s="135"/>
      <c r="T150" s="135"/>
      <c r="U150" s="135"/>
      <c r="V150" s="135"/>
      <c r="W150" s="135"/>
      <c r="X150" s="135"/>
      <c r="Y150" s="135"/>
      <c r="Z150" s="135"/>
      <c r="AA150" s="135"/>
      <c r="AB150" s="135"/>
      <c r="AC150" s="135"/>
      <c r="AD150" s="135"/>
      <c r="AE150" s="135"/>
      <c r="AF150" s="135"/>
      <c r="AG150" s="135"/>
      <c r="AH150" s="135"/>
      <c r="AI150" s="136"/>
    </row>
    <row r="151" spans="1:35" x14ac:dyDescent="0.3">
      <c r="A151" s="134"/>
      <c r="B151" s="135"/>
      <c r="C151" s="135"/>
      <c r="D151" s="135"/>
      <c r="E151" s="135"/>
      <c r="F151" s="135"/>
      <c r="G151" s="135"/>
      <c r="H151" s="135"/>
      <c r="I151" s="135"/>
      <c r="J151" s="135"/>
      <c r="K151" s="135"/>
      <c r="L151" s="135"/>
      <c r="M151" s="135"/>
      <c r="N151" s="135"/>
      <c r="O151" s="135"/>
      <c r="P151" s="135"/>
      <c r="Q151" s="135"/>
      <c r="R151" s="135"/>
      <c r="S151" s="135"/>
      <c r="T151" s="135"/>
      <c r="U151" s="135"/>
      <c r="V151" s="135"/>
      <c r="W151" s="135"/>
      <c r="X151" s="135"/>
      <c r="Y151" s="135"/>
      <c r="Z151" s="135"/>
      <c r="AA151" s="135"/>
      <c r="AB151" s="135"/>
      <c r="AC151" s="135"/>
      <c r="AD151" s="148" t="s">
        <v>146</v>
      </c>
      <c r="AE151" s="149"/>
      <c r="AF151" s="149"/>
      <c r="AG151" s="149"/>
      <c r="AH151" s="149"/>
      <c r="AI151" s="136"/>
    </row>
    <row r="152" spans="1:35" x14ac:dyDescent="0.3">
      <c r="A152" s="134"/>
      <c r="B152" s="135"/>
      <c r="C152" s="135"/>
      <c r="D152" s="135"/>
      <c r="E152" s="135"/>
      <c r="F152" s="135"/>
      <c r="G152" s="135"/>
      <c r="H152" s="135"/>
      <c r="I152" s="135"/>
      <c r="J152" s="135"/>
      <c r="K152" s="135"/>
      <c r="L152" s="135"/>
      <c r="M152" s="135"/>
      <c r="N152" s="135"/>
      <c r="O152" s="135"/>
      <c r="P152" s="135"/>
      <c r="Q152" s="135"/>
      <c r="R152" s="135"/>
      <c r="S152" s="135"/>
      <c r="T152" s="135"/>
      <c r="U152" s="135"/>
      <c r="V152" s="135"/>
      <c r="W152" s="135"/>
      <c r="X152" s="135"/>
      <c r="Y152" s="135"/>
      <c r="Z152" s="135"/>
      <c r="AA152" s="135"/>
      <c r="AB152" s="135"/>
      <c r="AC152" s="135"/>
      <c r="AD152" s="149"/>
      <c r="AE152" s="149"/>
      <c r="AF152" s="149"/>
      <c r="AG152" s="149"/>
      <c r="AH152" s="149"/>
      <c r="AI152" s="136"/>
    </row>
    <row r="153" spans="1:35" x14ac:dyDescent="0.3">
      <c r="A153" s="134"/>
      <c r="B153" s="135"/>
      <c r="C153" s="135"/>
      <c r="D153" s="135"/>
      <c r="E153" s="135"/>
      <c r="F153" s="135"/>
      <c r="G153" s="135"/>
      <c r="H153" s="135"/>
      <c r="I153" s="135"/>
      <c r="J153" s="135"/>
      <c r="K153" s="135"/>
      <c r="L153" s="135"/>
      <c r="M153" s="135"/>
      <c r="N153" s="135"/>
      <c r="O153" s="135"/>
      <c r="P153" s="135"/>
      <c r="Q153" s="135"/>
      <c r="R153" s="135"/>
      <c r="S153" s="135"/>
      <c r="T153" s="135"/>
      <c r="U153" s="135"/>
      <c r="V153" s="135"/>
      <c r="W153" s="135"/>
      <c r="X153" s="135"/>
      <c r="Y153" s="135"/>
      <c r="Z153" s="135"/>
      <c r="AA153" s="135"/>
      <c r="AB153" s="135"/>
      <c r="AC153" s="135"/>
      <c r="AD153" s="149"/>
      <c r="AE153" s="149"/>
      <c r="AF153" s="149"/>
      <c r="AG153" s="149"/>
      <c r="AH153" s="149"/>
      <c r="AI153" s="136"/>
    </row>
    <row r="154" spans="1:35" x14ac:dyDescent="0.3">
      <c r="A154" s="134"/>
      <c r="B154" s="135"/>
      <c r="C154" s="135"/>
      <c r="D154" s="135"/>
      <c r="E154" s="135"/>
      <c r="F154" s="135"/>
      <c r="G154" s="135"/>
      <c r="H154" s="135"/>
      <c r="I154" s="135"/>
      <c r="J154" s="135"/>
      <c r="K154" s="135"/>
      <c r="L154" s="135"/>
      <c r="M154" s="135"/>
      <c r="N154" s="135"/>
      <c r="O154" s="135"/>
      <c r="P154" s="135"/>
      <c r="Q154" s="135"/>
      <c r="R154" s="135"/>
      <c r="S154" s="135"/>
      <c r="T154" s="135"/>
      <c r="U154" s="135"/>
      <c r="V154" s="135"/>
      <c r="W154" s="135"/>
      <c r="X154" s="135"/>
      <c r="Y154" s="135"/>
      <c r="Z154" s="135"/>
      <c r="AA154" s="135"/>
      <c r="AB154" s="135"/>
      <c r="AC154" s="135"/>
      <c r="AD154" s="149"/>
      <c r="AE154" s="149"/>
      <c r="AF154" s="149"/>
      <c r="AG154" s="149"/>
      <c r="AH154" s="149"/>
      <c r="AI154" s="136"/>
    </row>
    <row r="155" spans="1:35" x14ac:dyDescent="0.3">
      <c r="A155" s="134"/>
      <c r="B155" s="135"/>
      <c r="C155" s="135"/>
      <c r="D155" s="135"/>
      <c r="E155" s="135"/>
      <c r="F155" s="135"/>
      <c r="G155" s="135"/>
      <c r="H155" s="135"/>
      <c r="I155" s="135"/>
      <c r="J155" s="135"/>
      <c r="K155" s="135"/>
      <c r="L155" s="135"/>
      <c r="M155" s="135"/>
      <c r="N155" s="135"/>
      <c r="O155" s="135"/>
      <c r="P155" s="135"/>
      <c r="Q155" s="135"/>
      <c r="R155" s="135"/>
      <c r="S155" s="135"/>
      <c r="T155" s="135"/>
      <c r="U155" s="135"/>
      <c r="V155" s="135"/>
      <c r="W155" s="135"/>
      <c r="X155" s="135"/>
      <c r="Y155" s="135"/>
      <c r="Z155" s="135"/>
      <c r="AA155" s="135"/>
      <c r="AB155" s="135"/>
      <c r="AC155" s="135"/>
      <c r="AD155" s="149"/>
      <c r="AE155" s="149"/>
      <c r="AF155" s="149"/>
      <c r="AG155" s="149"/>
      <c r="AH155" s="149"/>
      <c r="AI155" s="136"/>
    </row>
    <row r="156" spans="1:35" x14ac:dyDescent="0.3">
      <c r="A156" s="134"/>
      <c r="B156" s="135"/>
      <c r="C156" s="135"/>
      <c r="D156" s="135"/>
      <c r="E156" s="135"/>
      <c r="F156" s="135"/>
      <c r="G156" s="135"/>
      <c r="H156" s="135"/>
      <c r="I156" s="135"/>
      <c r="J156" s="135"/>
      <c r="K156" s="135"/>
      <c r="L156" s="135"/>
      <c r="M156" s="135"/>
      <c r="N156" s="135"/>
      <c r="O156" s="135"/>
      <c r="P156" s="135"/>
      <c r="Q156" s="135"/>
      <c r="R156" s="135"/>
      <c r="S156" s="135"/>
      <c r="T156" s="135"/>
      <c r="U156" s="135"/>
      <c r="V156" s="135"/>
      <c r="W156" s="135"/>
      <c r="X156" s="135"/>
      <c r="Y156" s="135"/>
      <c r="Z156" s="135"/>
      <c r="AA156" s="135"/>
      <c r="AB156" s="135"/>
      <c r="AC156" s="135"/>
      <c r="AD156" s="149"/>
      <c r="AE156" s="149"/>
      <c r="AF156" s="149"/>
      <c r="AG156" s="149"/>
      <c r="AH156" s="149"/>
      <c r="AI156" s="136"/>
    </row>
    <row r="157" spans="1:35" x14ac:dyDescent="0.3">
      <c r="A157" s="134"/>
      <c r="B157" s="135"/>
      <c r="C157" s="135"/>
      <c r="D157" s="135"/>
      <c r="E157" s="135"/>
      <c r="F157" s="135"/>
      <c r="G157" s="135"/>
      <c r="H157" s="135"/>
      <c r="I157" s="135"/>
      <c r="J157" s="135"/>
      <c r="K157" s="135"/>
      <c r="L157" s="135"/>
      <c r="M157" s="135"/>
      <c r="N157" s="135"/>
      <c r="O157" s="135"/>
      <c r="P157" s="135"/>
      <c r="Q157" s="135"/>
      <c r="R157" s="135"/>
      <c r="S157" s="135"/>
      <c r="T157" s="135"/>
      <c r="U157" s="135"/>
      <c r="V157" s="135"/>
      <c r="W157" s="135"/>
      <c r="X157" s="135"/>
      <c r="Y157" s="135"/>
      <c r="Z157" s="135"/>
      <c r="AA157" s="135"/>
      <c r="AB157" s="135"/>
      <c r="AC157" s="135"/>
      <c r="AD157" s="149"/>
      <c r="AE157" s="149"/>
      <c r="AF157" s="149"/>
      <c r="AG157" s="149"/>
      <c r="AH157" s="149"/>
      <c r="AI157" s="136"/>
    </row>
    <row r="158" spans="1:35" x14ac:dyDescent="0.3">
      <c r="A158" s="134"/>
      <c r="B158" s="135"/>
      <c r="C158" s="135"/>
      <c r="D158" s="135"/>
      <c r="E158" s="135"/>
      <c r="F158" s="135"/>
      <c r="G158" s="135"/>
      <c r="H158" s="135"/>
      <c r="I158" s="135"/>
      <c r="J158" s="135"/>
      <c r="K158" s="135"/>
      <c r="L158" s="135"/>
      <c r="M158" s="135"/>
      <c r="N158" s="135"/>
      <c r="O158" s="135"/>
      <c r="P158" s="135"/>
      <c r="Q158" s="135"/>
      <c r="R158" s="135"/>
      <c r="S158" s="135"/>
      <c r="T158" s="135"/>
      <c r="U158" s="135"/>
      <c r="V158" s="135"/>
      <c r="W158" s="135"/>
      <c r="X158" s="135"/>
      <c r="Y158" s="135"/>
      <c r="Z158" s="135"/>
      <c r="AA158" s="135"/>
      <c r="AB158" s="135"/>
      <c r="AC158" s="135"/>
      <c r="AD158" s="135"/>
      <c r="AE158" s="135"/>
      <c r="AF158" s="135"/>
      <c r="AG158" s="135"/>
      <c r="AH158" s="135"/>
      <c r="AI158" s="136"/>
    </row>
    <row r="159" spans="1:35" x14ac:dyDescent="0.3">
      <c r="A159" s="134"/>
      <c r="B159" s="135"/>
      <c r="C159" s="135"/>
      <c r="D159" s="135"/>
      <c r="E159" s="135"/>
      <c r="F159" s="135"/>
      <c r="G159" s="135"/>
      <c r="H159" s="135"/>
      <c r="I159" s="135"/>
      <c r="J159" s="135"/>
      <c r="K159" s="135"/>
      <c r="L159" s="135"/>
      <c r="M159" s="135"/>
      <c r="N159" s="135"/>
      <c r="O159" s="135"/>
      <c r="P159" s="135"/>
      <c r="Q159" s="135"/>
      <c r="R159" s="135"/>
      <c r="S159" s="135"/>
      <c r="T159" s="135"/>
      <c r="U159" s="135"/>
      <c r="V159" s="135"/>
      <c r="W159" s="135"/>
      <c r="X159" s="135"/>
      <c r="Y159" s="135"/>
      <c r="Z159" s="135"/>
      <c r="AA159" s="135"/>
      <c r="AB159" s="135"/>
      <c r="AC159" s="135"/>
      <c r="AD159" s="135"/>
      <c r="AE159" s="135"/>
      <c r="AF159" s="135"/>
      <c r="AG159" s="135"/>
      <c r="AH159" s="135"/>
      <c r="AI159" s="136"/>
    </row>
    <row r="160" spans="1:35" x14ac:dyDescent="0.3">
      <c r="A160" s="134"/>
      <c r="B160" s="135"/>
      <c r="C160" s="135"/>
      <c r="D160" s="135"/>
      <c r="E160" s="135"/>
      <c r="F160" s="135"/>
      <c r="G160" s="135"/>
      <c r="H160" s="135"/>
      <c r="I160" s="135"/>
      <c r="J160" s="135"/>
      <c r="K160" s="135"/>
      <c r="L160" s="135"/>
      <c r="M160" s="135"/>
      <c r="N160" s="135"/>
      <c r="O160" s="135"/>
      <c r="P160" s="135"/>
      <c r="Q160" s="135"/>
      <c r="R160" s="135"/>
      <c r="S160" s="135"/>
      <c r="T160" s="135"/>
      <c r="U160" s="135"/>
      <c r="V160" s="135"/>
      <c r="W160" s="135"/>
      <c r="X160" s="135"/>
      <c r="Y160" s="135"/>
      <c r="Z160" s="135"/>
      <c r="AA160" s="135"/>
      <c r="AB160" s="135"/>
      <c r="AC160" s="135"/>
      <c r="AD160" s="135"/>
      <c r="AE160" s="135"/>
      <c r="AF160" s="135"/>
      <c r="AG160" s="135"/>
      <c r="AH160" s="135"/>
      <c r="AI160" s="136"/>
    </row>
    <row r="161" spans="1:35" x14ac:dyDescent="0.3">
      <c r="A161" s="134"/>
      <c r="B161" s="135"/>
      <c r="C161" s="135"/>
      <c r="D161" s="135"/>
      <c r="E161" s="135"/>
      <c r="F161" s="135"/>
      <c r="G161" s="135"/>
      <c r="H161" s="135"/>
      <c r="I161" s="135"/>
      <c r="J161" s="135"/>
      <c r="K161" s="135"/>
      <c r="L161" s="135"/>
      <c r="M161" s="135"/>
      <c r="N161" s="135"/>
      <c r="O161" s="135"/>
      <c r="P161" s="135"/>
      <c r="Q161" s="135"/>
      <c r="R161" s="135"/>
      <c r="S161" s="135"/>
      <c r="T161" s="135"/>
      <c r="U161" s="135"/>
      <c r="V161" s="135"/>
      <c r="W161" s="135"/>
      <c r="X161" s="135"/>
      <c r="Y161" s="135"/>
      <c r="Z161" s="135"/>
      <c r="AA161" s="135"/>
      <c r="AB161" s="135"/>
      <c r="AC161" s="135"/>
      <c r="AD161" s="135"/>
      <c r="AE161" s="135"/>
      <c r="AF161" s="135"/>
      <c r="AG161" s="135"/>
      <c r="AH161" s="135"/>
      <c r="AI161" s="136"/>
    </row>
    <row r="162" spans="1:35" ht="16.2" thickBot="1" x14ac:dyDescent="0.35">
      <c r="A162" s="137"/>
      <c r="B162" s="138"/>
      <c r="C162" s="138"/>
      <c r="D162" s="138"/>
      <c r="E162" s="138"/>
      <c r="F162" s="138"/>
      <c r="G162" s="138"/>
      <c r="H162" s="138"/>
      <c r="I162" s="138"/>
      <c r="J162" s="138"/>
      <c r="K162" s="138"/>
      <c r="L162" s="138"/>
      <c r="M162" s="138"/>
      <c r="N162" s="138"/>
      <c r="O162" s="138"/>
      <c r="P162" s="138"/>
      <c r="Q162" s="138"/>
      <c r="R162" s="138"/>
      <c r="S162" s="138"/>
      <c r="T162" s="138"/>
      <c r="U162" s="138"/>
      <c r="V162" s="138"/>
      <c r="W162" s="138"/>
      <c r="X162" s="138"/>
      <c r="Y162" s="138"/>
      <c r="Z162" s="138"/>
      <c r="AA162" s="138"/>
      <c r="AB162" s="138"/>
      <c r="AC162" s="138"/>
      <c r="AD162" s="138"/>
      <c r="AE162" s="138"/>
      <c r="AF162" s="138"/>
      <c r="AG162" s="138"/>
      <c r="AH162" s="138"/>
      <c r="AI162" s="139"/>
    </row>
    <row r="163" spans="1:35" x14ac:dyDescent="0.3">
      <c r="A163" s="131"/>
      <c r="B163" s="132"/>
      <c r="C163" s="132"/>
      <c r="D163" s="132"/>
      <c r="E163" s="132"/>
      <c r="F163" s="132"/>
      <c r="G163" s="132"/>
      <c r="H163" s="132"/>
      <c r="I163" s="132"/>
      <c r="J163" s="132"/>
      <c r="K163" s="132"/>
      <c r="L163" s="132"/>
      <c r="M163" s="132"/>
      <c r="N163" s="132"/>
      <c r="O163" s="132"/>
      <c r="P163" s="132"/>
      <c r="Q163" s="132"/>
      <c r="R163" s="132"/>
      <c r="S163" s="132"/>
      <c r="T163" s="132"/>
      <c r="U163" s="132"/>
      <c r="V163" s="132"/>
      <c r="W163" s="132"/>
      <c r="X163" s="132"/>
      <c r="Y163" s="132"/>
      <c r="Z163" s="132"/>
      <c r="AA163" s="132"/>
      <c r="AB163" s="132"/>
      <c r="AC163" s="132"/>
      <c r="AD163" s="132"/>
      <c r="AE163" s="132"/>
      <c r="AF163" s="132"/>
      <c r="AG163" s="132"/>
      <c r="AH163" s="132"/>
      <c r="AI163" s="133"/>
    </row>
    <row r="164" spans="1:35" x14ac:dyDescent="0.3">
      <c r="A164" s="134"/>
      <c r="B164" s="135"/>
      <c r="C164" s="135"/>
      <c r="D164" s="135"/>
      <c r="E164" s="135"/>
      <c r="F164" s="135"/>
      <c r="G164" s="135"/>
      <c r="H164" s="135"/>
      <c r="I164" s="135"/>
      <c r="J164" s="135"/>
      <c r="K164" s="135"/>
      <c r="L164" s="135"/>
      <c r="M164" s="135"/>
      <c r="N164" s="135"/>
      <c r="O164" s="135"/>
      <c r="P164" s="135"/>
      <c r="Q164" s="135"/>
      <c r="R164" s="135"/>
      <c r="S164" s="135"/>
      <c r="T164" s="135"/>
      <c r="U164" s="135"/>
      <c r="V164" s="135"/>
      <c r="W164" s="135"/>
      <c r="X164" s="135"/>
      <c r="Y164" s="135"/>
      <c r="Z164" s="135"/>
      <c r="AA164" s="135"/>
      <c r="AB164" s="135"/>
      <c r="AC164" s="135"/>
      <c r="AD164" s="135"/>
      <c r="AE164" s="135"/>
      <c r="AF164" s="135"/>
      <c r="AG164" s="135"/>
      <c r="AH164" s="135"/>
      <c r="AI164" s="136"/>
    </row>
    <row r="165" spans="1:35" x14ac:dyDescent="0.3">
      <c r="A165" s="134"/>
      <c r="B165" s="135"/>
      <c r="C165" s="135"/>
      <c r="D165" s="135"/>
      <c r="E165" s="135"/>
      <c r="F165" s="135"/>
      <c r="G165" s="135"/>
      <c r="H165" s="135"/>
      <c r="I165" s="135"/>
      <c r="J165" s="135"/>
      <c r="K165" s="135"/>
      <c r="L165" s="135"/>
      <c r="M165" s="135"/>
      <c r="N165" s="135"/>
      <c r="O165" s="135"/>
      <c r="P165" s="135"/>
      <c r="Q165" s="135"/>
      <c r="R165" s="135"/>
      <c r="S165" s="135"/>
      <c r="T165" s="135"/>
      <c r="U165" s="135"/>
      <c r="V165" s="135"/>
      <c r="W165" s="135"/>
      <c r="X165" s="135"/>
      <c r="Y165" s="135"/>
      <c r="Z165" s="135"/>
      <c r="AA165" s="135"/>
      <c r="AB165" s="135"/>
      <c r="AC165" s="135"/>
      <c r="AD165" s="135"/>
      <c r="AE165" s="135"/>
      <c r="AF165" s="135"/>
      <c r="AG165" s="135"/>
      <c r="AH165" s="135"/>
      <c r="AI165" s="136"/>
    </row>
    <row r="166" spans="1:35" x14ac:dyDescent="0.3">
      <c r="A166" s="134"/>
      <c r="B166" s="135"/>
      <c r="C166" s="135"/>
      <c r="D166" s="135"/>
      <c r="E166" s="135"/>
      <c r="F166" s="135"/>
      <c r="G166" s="135"/>
      <c r="H166" s="135"/>
      <c r="I166" s="135"/>
      <c r="J166" s="135"/>
      <c r="K166" s="135"/>
      <c r="L166" s="135"/>
      <c r="M166" s="135"/>
      <c r="N166" s="135"/>
      <c r="O166" s="135"/>
      <c r="P166" s="135"/>
      <c r="Q166" s="135"/>
      <c r="R166" s="135"/>
      <c r="S166" s="135"/>
      <c r="T166" s="135"/>
      <c r="U166" s="135"/>
      <c r="V166" s="135"/>
      <c r="W166" s="135"/>
      <c r="X166" s="135"/>
      <c r="Y166" s="135"/>
      <c r="Z166" s="135"/>
      <c r="AA166" s="135"/>
      <c r="AB166" s="135"/>
      <c r="AC166" s="135"/>
      <c r="AD166" s="135"/>
      <c r="AE166" s="135"/>
      <c r="AF166" s="135"/>
      <c r="AG166" s="135"/>
      <c r="AH166" s="135"/>
      <c r="AI166" s="136"/>
    </row>
    <row r="167" spans="1:35" x14ac:dyDescent="0.3">
      <c r="A167" s="134"/>
      <c r="B167" s="135"/>
      <c r="C167" s="135"/>
      <c r="D167" s="135"/>
      <c r="E167" s="135"/>
      <c r="F167" s="135"/>
      <c r="G167" s="135"/>
      <c r="H167" s="135"/>
      <c r="I167" s="135"/>
      <c r="J167" s="135"/>
      <c r="K167" s="135"/>
      <c r="L167" s="135"/>
      <c r="M167" s="135"/>
      <c r="N167" s="135"/>
      <c r="O167" s="135"/>
      <c r="P167" s="135"/>
      <c r="Q167" s="135"/>
      <c r="R167" s="135"/>
      <c r="S167" s="135"/>
      <c r="T167" s="135"/>
      <c r="U167" s="135"/>
      <c r="V167" s="135"/>
      <c r="W167" s="135"/>
      <c r="X167" s="135"/>
      <c r="Y167" s="135"/>
      <c r="Z167" s="135"/>
      <c r="AA167" s="135"/>
      <c r="AB167" s="135"/>
      <c r="AC167" s="135"/>
      <c r="AD167" s="148" t="s">
        <v>147</v>
      </c>
      <c r="AE167" s="149"/>
      <c r="AF167" s="149"/>
      <c r="AG167" s="149"/>
      <c r="AH167" s="149"/>
      <c r="AI167" s="136"/>
    </row>
    <row r="168" spans="1:35" x14ac:dyDescent="0.3">
      <c r="A168" s="134"/>
      <c r="B168" s="135"/>
      <c r="C168" s="135"/>
      <c r="D168" s="135"/>
      <c r="E168" s="135"/>
      <c r="F168" s="135"/>
      <c r="G168" s="135"/>
      <c r="H168" s="135"/>
      <c r="I168" s="135"/>
      <c r="J168" s="135"/>
      <c r="K168" s="135"/>
      <c r="L168" s="135"/>
      <c r="M168" s="135"/>
      <c r="N168" s="135"/>
      <c r="O168" s="135"/>
      <c r="P168" s="135"/>
      <c r="Q168" s="135"/>
      <c r="R168" s="135"/>
      <c r="S168" s="135"/>
      <c r="T168" s="135"/>
      <c r="U168" s="135"/>
      <c r="V168" s="135"/>
      <c r="W168" s="135"/>
      <c r="X168" s="135"/>
      <c r="Y168" s="135"/>
      <c r="Z168" s="135"/>
      <c r="AA168" s="135"/>
      <c r="AB168" s="135"/>
      <c r="AC168" s="135"/>
      <c r="AD168" s="149"/>
      <c r="AE168" s="149"/>
      <c r="AF168" s="149"/>
      <c r="AG168" s="149"/>
      <c r="AH168" s="149"/>
      <c r="AI168" s="136"/>
    </row>
    <row r="169" spans="1:35" x14ac:dyDescent="0.3">
      <c r="A169" s="134"/>
      <c r="B169" s="135"/>
      <c r="C169" s="135"/>
      <c r="D169" s="135"/>
      <c r="E169" s="135"/>
      <c r="F169" s="135"/>
      <c r="G169" s="135"/>
      <c r="H169" s="135"/>
      <c r="I169" s="135"/>
      <c r="J169" s="135"/>
      <c r="K169" s="135"/>
      <c r="L169" s="135"/>
      <c r="M169" s="135"/>
      <c r="N169" s="135"/>
      <c r="O169" s="135"/>
      <c r="P169" s="135"/>
      <c r="Q169" s="135"/>
      <c r="R169" s="135"/>
      <c r="S169" s="135"/>
      <c r="T169" s="135"/>
      <c r="U169" s="135"/>
      <c r="V169" s="135"/>
      <c r="W169" s="135"/>
      <c r="X169" s="135"/>
      <c r="Y169" s="135"/>
      <c r="Z169" s="135"/>
      <c r="AA169" s="135"/>
      <c r="AB169" s="135"/>
      <c r="AC169" s="135"/>
      <c r="AD169" s="149"/>
      <c r="AE169" s="149"/>
      <c r="AF169" s="149"/>
      <c r="AG169" s="149"/>
      <c r="AH169" s="149"/>
      <c r="AI169" s="136"/>
    </row>
    <row r="170" spans="1:35" x14ac:dyDescent="0.3">
      <c r="A170" s="134"/>
      <c r="B170" s="135"/>
      <c r="C170" s="135"/>
      <c r="D170" s="135"/>
      <c r="E170" s="135"/>
      <c r="F170" s="135"/>
      <c r="G170" s="135"/>
      <c r="H170" s="135"/>
      <c r="I170" s="135"/>
      <c r="J170" s="135"/>
      <c r="K170" s="135"/>
      <c r="L170" s="135"/>
      <c r="M170" s="135"/>
      <c r="N170" s="135"/>
      <c r="O170" s="135"/>
      <c r="P170" s="135"/>
      <c r="Q170" s="135"/>
      <c r="R170" s="135"/>
      <c r="S170" s="135"/>
      <c r="T170" s="135"/>
      <c r="U170" s="135"/>
      <c r="V170" s="135"/>
      <c r="W170" s="135"/>
      <c r="X170" s="135"/>
      <c r="Y170" s="135"/>
      <c r="Z170" s="135"/>
      <c r="AA170" s="135"/>
      <c r="AB170" s="135"/>
      <c r="AC170" s="135"/>
      <c r="AD170" s="149"/>
      <c r="AE170" s="149"/>
      <c r="AF170" s="149"/>
      <c r="AG170" s="149"/>
      <c r="AH170" s="149"/>
      <c r="AI170" s="136"/>
    </row>
    <row r="171" spans="1:35" x14ac:dyDescent="0.3">
      <c r="A171" s="134"/>
      <c r="B171" s="135"/>
      <c r="C171" s="135"/>
      <c r="D171" s="135"/>
      <c r="E171" s="135"/>
      <c r="F171" s="135"/>
      <c r="G171" s="135"/>
      <c r="H171" s="135"/>
      <c r="I171" s="135"/>
      <c r="J171" s="135"/>
      <c r="K171" s="135"/>
      <c r="L171" s="135"/>
      <c r="M171" s="135"/>
      <c r="N171" s="135"/>
      <c r="O171" s="135"/>
      <c r="P171" s="135"/>
      <c r="Q171" s="135"/>
      <c r="R171" s="135"/>
      <c r="S171" s="135"/>
      <c r="T171" s="135"/>
      <c r="U171" s="135"/>
      <c r="V171" s="135"/>
      <c r="W171" s="135"/>
      <c r="X171" s="135"/>
      <c r="Y171" s="135"/>
      <c r="Z171" s="135"/>
      <c r="AA171" s="135"/>
      <c r="AB171" s="135"/>
      <c r="AC171" s="135"/>
      <c r="AD171" s="149"/>
      <c r="AE171" s="149"/>
      <c r="AF171" s="149"/>
      <c r="AG171" s="149"/>
      <c r="AH171" s="149"/>
      <c r="AI171" s="136"/>
    </row>
    <row r="172" spans="1:35" x14ac:dyDescent="0.3">
      <c r="A172" s="134"/>
      <c r="B172" s="135"/>
      <c r="C172" s="135"/>
      <c r="D172" s="135"/>
      <c r="E172" s="135"/>
      <c r="F172" s="135"/>
      <c r="G172" s="135"/>
      <c r="H172" s="135"/>
      <c r="I172" s="135"/>
      <c r="J172" s="135"/>
      <c r="K172" s="135"/>
      <c r="L172" s="135"/>
      <c r="M172" s="135"/>
      <c r="N172" s="135"/>
      <c r="O172" s="135"/>
      <c r="P172" s="135"/>
      <c r="Q172" s="135"/>
      <c r="R172" s="135"/>
      <c r="S172" s="135"/>
      <c r="T172" s="135"/>
      <c r="U172" s="135"/>
      <c r="V172" s="135"/>
      <c r="W172" s="135"/>
      <c r="X172" s="135"/>
      <c r="Y172" s="135"/>
      <c r="Z172" s="135"/>
      <c r="AA172" s="135"/>
      <c r="AB172" s="135"/>
      <c r="AC172" s="135"/>
      <c r="AD172" s="149"/>
      <c r="AE172" s="149"/>
      <c r="AF172" s="149"/>
      <c r="AG172" s="149"/>
      <c r="AH172" s="149"/>
      <c r="AI172" s="136"/>
    </row>
    <row r="173" spans="1:35" x14ac:dyDescent="0.3">
      <c r="A173" s="134"/>
      <c r="B173" s="135"/>
      <c r="C173" s="135"/>
      <c r="D173" s="135"/>
      <c r="E173" s="135"/>
      <c r="F173" s="135"/>
      <c r="G173" s="135"/>
      <c r="H173" s="135"/>
      <c r="I173" s="135"/>
      <c r="J173" s="135"/>
      <c r="K173" s="135"/>
      <c r="L173" s="135"/>
      <c r="M173" s="135"/>
      <c r="N173" s="135"/>
      <c r="O173" s="135"/>
      <c r="P173" s="135"/>
      <c r="Q173" s="135"/>
      <c r="R173" s="135"/>
      <c r="S173" s="135"/>
      <c r="T173" s="135"/>
      <c r="U173" s="135"/>
      <c r="V173" s="135"/>
      <c r="W173" s="135"/>
      <c r="X173" s="135"/>
      <c r="Y173" s="135"/>
      <c r="Z173" s="135"/>
      <c r="AA173" s="135"/>
      <c r="AB173" s="135"/>
      <c r="AC173" s="135"/>
      <c r="AD173" s="149"/>
      <c r="AE173" s="149"/>
      <c r="AF173" s="149"/>
      <c r="AG173" s="149"/>
      <c r="AH173" s="149"/>
      <c r="AI173" s="136"/>
    </row>
    <row r="174" spans="1:35" x14ac:dyDescent="0.3">
      <c r="A174" s="134"/>
      <c r="B174" s="135"/>
      <c r="C174" s="135"/>
      <c r="D174" s="135"/>
      <c r="E174" s="135"/>
      <c r="F174" s="135"/>
      <c r="G174" s="135"/>
      <c r="H174" s="135"/>
      <c r="I174" s="135"/>
      <c r="J174" s="135"/>
      <c r="K174" s="135"/>
      <c r="L174" s="135"/>
      <c r="M174" s="135"/>
      <c r="N174" s="135"/>
      <c r="O174" s="135"/>
      <c r="P174" s="135"/>
      <c r="Q174" s="135"/>
      <c r="R174" s="135"/>
      <c r="S174" s="135"/>
      <c r="T174" s="135"/>
      <c r="U174" s="135"/>
      <c r="V174" s="135"/>
      <c r="W174" s="135"/>
      <c r="X174" s="135"/>
      <c r="Y174" s="135"/>
      <c r="Z174" s="135"/>
      <c r="AA174" s="135"/>
      <c r="AB174" s="135"/>
      <c r="AC174" s="135"/>
      <c r="AD174" s="135"/>
      <c r="AE174" s="135"/>
      <c r="AF174" s="135"/>
      <c r="AG174" s="135"/>
      <c r="AH174" s="135"/>
      <c r="AI174" s="136"/>
    </row>
    <row r="175" spans="1:35" x14ac:dyDescent="0.3">
      <c r="A175" s="134"/>
      <c r="B175" s="135"/>
      <c r="C175" s="135"/>
      <c r="D175" s="135"/>
      <c r="E175" s="135"/>
      <c r="F175" s="135"/>
      <c r="G175" s="135"/>
      <c r="H175" s="135"/>
      <c r="I175" s="135"/>
      <c r="J175" s="135"/>
      <c r="K175" s="135"/>
      <c r="L175" s="135"/>
      <c r="M175" s="135"/>
      <c r="N175" s="135"/>
      <c r="O175" s="135"/>
      <c r="P175" s="135"/>
      <c r="Q175" s="135"/>
      <c r="R175" s="135"/>
      <c r="S175" s="135"/>
      <c r="T175" s="135"/>
      <c r="U175" s="135"/>
      <c r="V175" s="135"/>
      <c r="W175" s="135"/>
      <c r="X175" s="135"/>
      <c r="Y175" s="135"/>
      <c r="Z175" s="135"/>
      <c r="AA175" s="135"/>
      <c r="AB175" s="135"/>
      <c r="AC175" s="135"/>
      <c r="AD175" s="135"/>
      <c r="AE175" s="135"/>
      <c r="AF175" s="135"/>
      <c r="AG175" s="135"/>
      <c r="AH175" s="135"/>
      <c r="AI175" s="136"/>
    </row>
    <row r="176" spans="1:35" x14ac:dyDescent="0.3">
      <c r="A176" s="134"/>
      <c r="B176" s="135"/>
      <c r="C176" s="135"/>
      <c r="D176" s="135"/>
      <c r="E176" s="135"/>
      <c r="F176" s="135"/>
      <c r="G176" s="135"/>
      <c r="H176" s="135"/>
      <c r="I176" s="135"/>
      <c r="J176" s="135"/>
      <c r="K176" s="135"/>
      <c r="L176" s="135"/>
      <c r="M176" s="135"/>
      <c r="N176" s="135"/>
      <c r="O176" s="135"/>
      <c r="P176" s="135"/>
      <c r="Q176" s="135"/>
      <c r="R176" s="135"/>
      <c r="S176" s="135"/>
      <c r="T176" s="135"/>
      <c r="U176" s="135"/>
      <c r="V176" s="135"/>
      <c r="W176" s="135"/>
      <c r="X176" s="135"/>
      <c r="Y176" s="135"/>
      <c r="Z176" s="135"/>
      <c r="AA176" s="135"/>
      <c r="AB176" s="135"/>
      <c r="AC176" s="135"/>
      <c r="AD176" s="135"/>
      <c r="AE176" s="135"/>
      <c r="AF176" s="135"/>
      <c r="AG176" s="135"/>
      <c r="AH176" s="135"/>
      <c r="AI176" s="136"/>
    </row>
    <row r="177" spans="1:35" x14ac:dyDescent="0.3">
      <c r="A177" s="134"/>
      <c r="B177" s="135"/>
      <c r="C177" s="135"/>
      <c r="D177" s="135"/>
      <c r="E177" s="135"/>
      <c r="F177" s="135"/>
      <c r="G177" s="135"/>
      <c r="H177" s="135"/>
      <c r="I177" s="135"/>
      <c r="J177" s="135"/>
      <c r="K177" s="135"/>
      <c r="L177" s="135"/>
      <c r="M177" s="135"/>
      <c r="N177" s="135"/>
      <c r="O177" s="135"/>
      <c r="P177" s="135"/>
      <c r="Q177" s="135"/>
      <c r="R177" s="135"/>
      <c r="S177" s="135"/>
      <c r="T177" s="135"/>
      <c r="U177" s="135"/>
      <c r="V177" s="135"/>
      <c r="W177" s="135"/>
      <c r="X177" s="135"/>
      <c r="Y177" s="135"/>
      <c r="Z177" s="135"/>
      <c r="AA177" s="135"/>
      <c r="AB177" s="135"/>
      <c r="AC177" s="135"/>
      <c r="AD177" s="135"/>
      <c r="AE177" s="135"/>
      <c r="AF177" s="135"/>
      <c r="AG177" s="135"/>
      <c r="AH177" s="135"/>
      <c r="AI177" s="136"/>
    </row>
    <row r="178" spans="1:35" x14ac:dyDescent="0.3">
      <c r="A178" s="134"/>
      <c r="B178" s="135"/>
      <c r="C178" s="135"/>
      <c r="D178" s="135"/>
      <c r="E178" s="135"/>
      <c r="F178" s="135"/>
      <c r="G178" s="135"/>
      <c r="H178" s="135"/>
      <c r="I178" s="135"/>
      <c r="J178" s="135"/>
      <c r="K178" s="135"/>
      <c r="L178" s="135"/>
      <c r="M178" s="135"/>
      <c r="N178" s="135"/>
      <c r="O178" s="135"/>
      <c r="P178" s="135"/>
      <c r="Q178" s="135"/>
      <c r="R178" s="135"/>
      <c r="S178" s="135"/>
      <c r="T178" s="135"/>
      <c r="U178" s="135"/>
      <c r="V178" s="135"/>
      <c r="W178" s="135"/>
      <c r="X178" s="135"/>
      <c r="Y178" s="135"/>
      <c r="Z178" s="135"/>
      <c r="AA178" s="135"/>
      <c r="AB178" s="135"/>
      <c r="AC178" s="135"/>
      <c r="AD178" s="135"/>
      <c r="AE178" s="135"/>
      <c r="AF178" s="135"/>
      <c r="AG178" s="135"/>
      <c r="AH178" s="135"/>
      <c r="AI178" s="136"/>
    </row>
    <row r="179" spans="1:35" ht="16.2" thickBot="1" x14ac:dyDescent="0.35">
      <c r="A179" s="137"/>
      <c r="B179" s="138"/>
      <c r="C179" s="138"/>
      <c r="D179" s="138"/>
      <c r="E179" s="138"/>
      <c r="F179" s="138"/>
      <c r="G179" s="138"/>
      <c r="H179" s="138"/>
      <c r="I179" s="138"/>
      <c r="J179" s="138"/>
      <c r="K179" s="138"/>
      <c r="L179" s="138"/>
      <c r="M179" s="138"/>
      <c r="N179" s="138"/>
      <c r="O179" s="138"/>
      <c r="P179" s="138"/>
      <c r="Q179" s="138"/>
      <c r="R179" s="138"/>
      <c r="S179" s="138"/>
      <c r="T179" s="138"/>
      <c r="U179" s="138"/>
      <c r="V179" s="138"/>
      <c r="W179" s="138"/>
      <c r="X179" s="138"/>
      <c r="Y179" s="138"/>
      <c r="Z179" s="138"/>
      <c r="AA179" s="138"/>
      <c r="AB179" s="138"/>
      <c r="AC179" s="138"/>
      <c r="AD179" s="138"/>
      <c r="AE179" s="138"/>
      <c r="AF179" s="138"/>
      <c r="AG179" s="138"/>
      <c r="AH179" s="138"/>
      <c r="AI179" s="139"/>
    </row>
    <row r="180" spans="1:35" x14ac:dyDescent="0.3">
      <c r="A180" s="131"/>
      <c r="B180" s="132"/>
      <c r="C180" s="132"/>
      <c r="D180" s="132"/>
      <c r="E180" s="132"/>
      <c r="F180" s="132"/>
      <c r="G180" s="132"/>
      <c r="H180" s="132"/>
      <c r="I180" s="132"/>
      <c r="J180" s="132"/>
      <c r="K180" s="132"/>
      <c r="L180" s="132"/>
      <c r="M180" s="132"/>
      <c r="N180" s="132"/>
      <c r="O180" s="132"/>
      <c r="P180" s="132"/>
      <c r="Q180" s="132"/>
      <c r="R180" s="132"/>
      <c r="S180" s="132"/>
      <c r="T180" s="132"/>
      <c r="U180" s="132"/>
      <c r="V180" s="132"/>
      <c r="W180" s="132"/>
      <c r="X180" s="132"/>
      <c r="Y180" s="132"/>
      <c r="Z180" s="132"/>
      <c r="AA180" s="132"/>
      <c r="AB180" s="132"/>
      <c r="AC180" s="132"/>
      <c r="AD180" s="132"/>
      <c r="AE180" s="132"/>
      <c r="AF180" s="132"/>
      <c r="AG180" s="132"/>
      <c r="AH180" s="132"/>
      <c r="AI180" s="133"/>
    </row>
    <row r="181" spans="1:35" x14ac:dyDescent="0.3">
      <c r="A181" s="134"/>
      <c r="B181" s="135"/>
      <c r="C181" s="135"/>
      <c r="D181" s="135"/>
      <c r="E181" s="135"/>
      <c r="F181" s="135"/>
      <c r="G181" s="135"/>
      <c r="H181" s="135"/>
      <c r="I181" s="135"/>
      <c r="J181" s="135"/>
      <c r="K181" s="135"/>
      <c r="L181" s="135"/>
      <c r="M181" s="135"/>
      <c r="N181" s="135"/>
      <c r="O181" s="135"/>
      <c r="P181" s="135"/>
      <c r="Q181" s="135"/>
      <c r="R181" s="135"/>
      <c r="S181" s="135"/>
      <c r="T181" s="135"/>
      <c r="U181" s="135"/>
      <c r="V181" s="135"/>
      <c r="W181" s="135"/>
      <c r="X181" s="135"/>
      <c r="Y181" s="135"/>
      <c r="Z181" s="135"/>
      <c r="AA181" s="135"/>
      <c r="AB181" s="135"/>
      <c r="AC181" s="135"/>
      <c r="AD181" s="135"/>
      <c r="AE181" s="135"/>
      <c r="AF181" s="135"/>
      <c r="AG181" s="135"/>
      <c r="AH181" s="135"/>
      <c r="AI181" s="136"/>
    </row>
    <row r="182" spans="1:35" x14ac:dyDescent="0.3">
      <c r="A182" s="134"/>
      <c r="B182" s="135"/>
      <c r="C182" s="135"/>
      <c r="D182" s="135"/>
      <c r="E182" s="135"/>
      <c r="F182" s="135"/>
      <c r="G182" s="135"/>
      <c r="H182" s="135"/>
      <c r="I182" s="135"/>
      <c r="J182" s="135"/>
      <c r="K182" s="135"/>
      <c r="L182" s="135"/>
      <c r="M182" s="135"/>
      <c r="N182" s="135"/>
      <c r="O182" s="135"/>
      <c r="P182" s="135"/>
      <c r="Q182" s="135"/>
      <c r="R182" s="135"/>
      <c r="S182" s="135"/>
      <c r="T182" s="135"/>
      <c r="U182" s="135"/>
      <c r="V182" s="135"/>
      <c r="W182" s="135"/>
      <c r="X182" s="135"/>
      <c r="Y182" s="135"/>
      <c r="Z182" s="135"/>
      <c r="AA182" s="135"/>
      <c r="AB182" s="135"/>
      <c r="AC182" s="135"/>
      <c r="AD182" s="135"/>
      <c r="AE182" s="135"/>
      <c r="AF182" s="135"/>
      <c r="AG182" s="135"/>
      <c r="AH182" s="135"/>
      <c r="AI182" s="136"/>
    </row>
    <row r="183" spans="1:35" x14ac:dyDescent="0.3">
      <c r="A183" s="134"/>
      <c r="B183" s="135"/>
      <c r="C183" s="135"/>
      <c r="D183" s="135"/>
      <c r="E183" s="135"/>
      <c r="F183" s="135"/>
      <c r="G183" s="135"/>
      <c r="H183" s="135"/>
      <c r="I183" s="135"/>
      <c r="J183" s="135"/>
      <c r="K183" s="135"/>
      <c r="L183" s="135"/>
      <c r="M183" s="135"/>
      <c r="N183" s="135"/>
      <c r="O183" s="135"/>
      <c r="P183" s="135"/>
      <c r="Q183" s="135"/>
      <c r="R183" s="135"/>
      <c r="S183" s="135"/>
      <c r="T183" s="135"/>
      <c r="U183" s="135"/>
      <c r="V183" s="135"/>
      <c r="W183" s="135"/>
      <c r="X183" s="135"/>
      <c r="Y183" s="135"/>
      <c r="Z183" s="135"/>
      <c r="AA183" s="135"/>
      <c r="AB183" s="135"/>
      <c r="AC183" s="135"/>
      <c r="AD183" s="135"/>
      <c r="AE183" s="135"/>
      <c r="AF183" s="135"/>
      <c r="AG183" s="135"/>
      <c r="AH183" s="135"/>
      <c r="AI183" s="136"/>
    </row>
    <row r="184" spans="1:35" x14ac:dyDescent="0.3">
      <c r="A184" s="134"/>
      <c r="B184" s="135"/>
      <c r="C184" s="135"/>
      <c r="D184" s="135"/>
      <c r="E184" s="135"/>
      <c r="F184" s="135"/>
      <c r="G184" s="135"/>
      <c r="H184" s="135"/>
      <c r="I184" s="135"/>
      <c r="J184" s="135"/>
      <c r="K184" s="135"/>
      <c r="L184" s="135"/>
      <c r="M184" s="135"/>
      <c r="N184" s="135"/>
      <c r="O184" s="135"/>
      <c r="P184" s="135"/>
      <c r="Q184" s="135"/>
      <c r="R184" s="135"/>
      <c r="S184" s="135"/>
      <c r="T184" s="135"/>
      <c r="U184" s="135"/>
      <c r="V184" s="135"/>
      <c r="W184" s="135"/>
      <c r="X184" s="135"/>
      <c r="Y184" s="135"/>
      <c r="Z184" s="135"/>
      <c r="AA184" s="135"/>
      <c r="AB184" s="135"/>
      <c r="AC184" s="135"/>
      <c r="AD184" s="135"/>
      <c r="AE184" s="135"/>
      <c r="AF184" s="135"/>
      <c r="AG184" s="135"/>
      <c r="AH184" s="135"/>
      <c r="AI184" s="136"/>
    </row>
    <row r="185" spans="1:35" x14ac:dyDescent="0.3">
      <c r="A185" s="134"/>
      <c r="B185" s="135"/>
      <c r="C185" s="135"/>
      <c r="D185" s="135"/>
      <c r="E185" s="135"/>
      <c r="F185" s="135"/>
      <c r="G185" s="135"/>
      <c r="H185" s="135"/>
      <c r="I185" s="135"/>
      <c r="J185" s="135"/>
      <c r="K185" s="135"/>
      <c r="L185" s="135"/>
      <c r="M185" s="135"/>
      <c r="N185" s="135"/>
      <c r="O185" s="135"/>
      <c r="P185" s="135"/>
      <c r="Q185" s="135"/>
      <c r="R185" s="135"/>
      <c r="S185" s="135"/>
      <c r="T185" s="135"/>
      <c r="U185" s="135"/>
      <c r="V185" s="135"/>
      <c r="W185" s="135"/>
      <c r="X185" s="135"/>
      <c r="Y185" s="135"/>
      <c r="Z185" s="135"/>
      <c r="AA185" s="135"/>
      <c r="AB185" s="135"/>
      <c r="AC185" s="135"/>
      <c r="AD185" s="148" t="s">
        <v>148</v>
      </c>
      <c r="AE185" s="149"/>
      <c r="AF185" s="149"/>
      <c r="AG185" s="149"/>
      <c r="AH185" s="149"/>
      <c r="AI185" s="136"/>
    </row>
    <row r="186" spans="1:35" x14ac:dyDescent="0.3">
      <c r="A186" s="134"/>
      <c r="B186" s="135"/>
      <c r="C186" s="135"/>
      <c r="D186" s="135"/>
      <c r="E186" s="135"/>
      <c r="F186" s="135"/>
      <c r="G186" s="135"/>
      <c r="H186" s="135"/>
      <c r="I186" s="135"/>
      <c r="J186" s="135"/>
      <c r="K186" s="135"/>
      <c r="L186" s="135"/>
      <c r="M186" s="135"/>
      <c r="N186" s="135"/>
      <c r="O186" s="135"/>
      <c r="P186" s="135"/>
      <c r="Q186" s="135"/>
      <c r="R186" s="135"/>
      <c r="S186" s="135"/>
      <c r="T186" s="135"/>
      <c r="U186" s="135"/>
      <c r="V186" s="135"/>
      <c r="W186" s="135"/>
      <c r="X186" s="135"/>
      <c r="Y186" s="135"/>
      <c r="Z186" s="135"/>
      <c r="AA186" s="135"/>
      <c r="AB186" s="135"/>
      <c r="AC186" s="135"/>
      <c r="AD186" s="149"/>
      <c r="AE186" s="149"/>
      <c r="AF186" s="149"/>
      <c r="AG186" s="149"/>
      <c r="AH186" s="149"/>
      <c r="AI186" s="136"/>
    </row>
    <row r="187" spans="1:35" x14ac:dyDescent="0.3">
      <c r="A187" s="134"/>
      <c r="B187" s="135"/>
      <c r="C187" s="135"/>
      <c r="D187" s="135"/>
      <c r="E187" s="135"/>
      <c r="F187" s="135"/>
      <c r="G187" s="135"/>
      <c r="H187" s="135"/>
      <c r="I187" s="135"/>
      <c r="J187" s="135"/>
      <c r="K187" s="135"/>
      <c r="L187" s="135"/>
      <c r="M187" s="135"/>
      <c r="N187" s="135"/>
      <c r="O187" s="135"/>
      <c r="P187" s="135"/>
      <c r="Q187" s="135"/>
      <c r="R187" s="135"/>
      <c r="S187" s="135"/>
      <c r="T187" s="135"/>
      <c r="U187" s="135"/>
      <c r="V187" s="135"/>
      <c r="W187" s="135"/>
      <c r="X187" s="135"/>
      <c r="Y187" s="135"/>
      <c r="Z187" s="135"/>
      <c r="AA187" s="135"/>
      <c r="AB187" s="135"/>
      <c r="AC187" s="135"/>
      <c r="AD187" s="149"/>
      <c r="AE187" s="149"/>
      <c r="AF187" s="149"/>
      <c r="AG187" s="149"/>
      <c r="AH187" s="149"/>
      <c r="AI187" s="136"/>
    </row>
    <row r="188" spans="1:35" x14ac:dyDescent="0.3">
      <c r="A188" s="134"/>
      <c r="B188" s="135"/>
      <c r="C188" s="135"/>
      <c r="D188" s="135"/>
      <c r="E188" s="135"/>
      <c r="F188" s="135"/>
      <c r="G188" s="135"/>
      <c r="H188" s="135"/>
      <c r="I188" s="135"/>
      <c r="J188" s="135"/>
      <c r="K188" s="135"/>
      <c r="L188" s="135"/>
      <c r="M188" s="135"/>
      <c r="N188" s="135"/>
      <c r="O188" s="135"/>
      <c r="P188" s="135"/>
      <c r="Q188" s="135"/>
      <c r="R188" s="135"/>
      <c r="S188" s="135"/>
      <c r="T188" s="135"/>
      <c r="U188" s="135"/>
      <c r="V188" s="135"/>
      <c r="W188" s="135"/>
      <c r="X188" s="135"/>
      <c r="Y188" s="135"/>
      <c r="Z188" s="135"/>
      <c r="AA188" s="135"/>
      <c r="AB188" s="135"/>
      <c r="AC188" s="135"/>
      <c r="AD188" s="149"/>
      <c r="AE188" s="149"/>
      <c r="AF188" s="149"/>
      <c r="AG188" s="149"/>
      <c r="AH188" s="149"/>
      <c r="AI188" s="136"/>
    </row>
    <row r="189" spans="1:35" x14ac:dyDescent="0.3">
      <c r="A189" s="134"/>
      <c r="B189" s="135"/>
      <c r="C189" s="135"/>
      <c r="D189" s="135"/>
      <c r="E189" s="135"/>
      <c r="F189" s="135"/>
      <c r="G189" s="135"/>
      <c r="H189" s="135"/>
      <c r="I189" s="135"/>
      <c r="J189" s="135"/>
      <c r="K189" s="135"/>
      <c r="L189" s="135"/>
      <c r="M189" s="135"/>
      <c r="N189" s="135"/>
      <c r="O189" s="135"/>
      <c r="P189" s="135"/>
      <c r="Q189" s="135"/>
      <c r="R189" s="135"/>
      <c r="S189" s="135"/>
      <c r="T189" s="135"/>
      <c r="U189" s="135"/>
      <c r="V189" s="135"/>
      <c r="W189" s="135"/>
      <c r="X189" s="135"/>
      <c r="Y189" s="135"/>
      <c r="Z189" s="135"/>
      <c r="AA189" s="135"/>
      <c r="AB189" s="135"/>
      <c r="AC189" s="135"/>
      <c r="AD189" s="149"/>
      <c r="AE189" s="149"/>
      <c r="AF189" s="149"/>
      <c r="AG189" s="149"/>
      <c r="AH189" s="149"/>
      <c r="AI189" s="136"/>
    </row>
    <row r="190" spans="1:35" x14ac:dyDescent="0.3">
      <c r="A190" s="134"/>
      <c r="B190" s="135"/>
      <c r="C190" s="135"/>
      <c r="D190" s="135"/>
      <c r="E190" s="135"/>
      <c r="F190" s="135"/>
      <c r="G190" s="135"/>
      <c r="H190" s="135"/>
      <c r="I190" s="135"/>
      <c r="J190" s="135"/>
      <c r="K190" s="135"/>
      <c r="L190" s="135"/>
      <c r="M190" s="135"/>
      <c r="N190" s="135"/>
      <c r="O190" s="135"/>
      <c r="P190" s="135"/>
      <c r="Q190" s="135"/>
      <c r="R190" s="135"/>
      <c r="S190" s="135"/>
      <c r="T190" s="135"/>
      <c r="U190" s="135"/>
      <c r="V190" s="135"/>
      <c r="W190" s="135"/>
      <c r="X190" s="135"/>
      <c r="Y190" s="135"/>
      <c r="Z190" s="135"/>
      <c r="AA190" s="135"/>
      <c r="AB190" s="135"/>
      <c r="AC190" s="135"/>
      <c r="AD190" s="149"/>
      <c r="AE190" s="149"/>
      <c r="AF190" s="149"/>
      <c r="AG190" s="149"/>
      <c r="AH190" s="149"/>
      <c r="AI190" s="136"/>
    </row>
    <row r="191" spans="1:35" x14ac:dyDescent="0.3">
      <c r="A191" s="134"/>
      <c r="B191" s="135"/>
      <c r="C191" s="135"/>
      <c r="D191" s="135"/>
      <c r="E191" s="135"/>
      <c r="F191" s="135"/>
      <c r="G191" s="135"/>
      <c r="H191" s="135"/>
      <c r="I191" s="135"/>
      <c r="J191" s="135"/>
      <c r="K191" s="135"/>
      <c r="L191" s="135"/>
      <c r="M191" s="135"/>
      <c r="N191" s="135"/>
      <c r="O191" s="135"/>
      <c r="P191" s="135"/>
      <c r="Q191" s="135"/>
      <c r="R191" s="135"/>
      <c r="S191" s="135"/>
      <c r="T191" s="135"/>
      <c r="U191" s="135"/>
      <c r="V191" s="135"/>
      <c r="W191" s="135"/>
      <c r="X191" s="135"/>
      <c r="Y191" s="135"/>
      <c r="Z191" s="135"/>
      <c r="AA191" s="135"/>
      <c r="AB191" s="135"/>
      <c r="AC191" s="135"/>
      <c r="AD191" s="149"/>
      <c r="AE191" s="149"/>
      <c r="AF191" s="149"/>
      <c r="AG191" s="149"/>
      <c r="AH191" s="149"/>
      <c r="AI191" s="136"/>
    </row>
    <row r="192" spans="1:35" x14ac:dyDescent="0.3">
      <c r="A192" s="134"/>
      <c r="B192" s="135"/>
      <c r="C192" s="135"/>
      <c r="D192" s="135"/>
      <c r="E192" s="135"/>
      <c r="F192" s="135"/>
      <c r="G192" s="135"/>
      <c r="H192" s="135"/>
      <c r="I192" s="135"/>
      <c r="J192" s="135"/>
      <c r="K192" s="135"/>
      <c r="L192" s="135"/>
      <c r="M192" s="135"/>
      <c r="N192" s="135"/>
      <c r="O192" s="135"/>
      <c r="P192" s="135"/>
      <c r="Q192" s="135"/>
      <c r="R192" s="135"/>
      <c r="S192" s="135"/>
      <c r="T192" s="135"/>
      <c r="U192" s="135"/>
      <c r="V192" s="135"/>
      <c r="W192" s="135"/>
      <c r="X192" s="135"/>
      <c r="Y192" s="135"/>
      <c r="Z192" s="135"/>
      <c r="AA192" s="135"/>
      <c r="AB192" s="135"/>
      <c r="AC192" s="135"/>
      <c r="AD192" s="135"/>
      <c r="AE192" s="135"/>
      <c r="AF192" s="135"/>
      <c r="AG192" s="135"/>
      <c r="AH192" s="135"/>
      <c r="AI192" s="136"/>
    </row>
    <row r="193" spans="1:35" x14ac:dyDescent="0.3">
      <c r="A193" s="134"/>
      <c r="B193" s="135"/>
      <c r="C193" s="135"/>
      <c r="D193" s="135"/>
      <c r="E193" s="135"/>
      <c r="F193" s="135"/>
      <c r="G193" s="135"/>
      <c r="H193" s="135"/>
      <c r="I193" s="135"/>
      <c r="J193" s="135"/>
      <c r="K193" s="135"/>
      <c r="L193" s="135"/>
      <c r="M193" s="135"/>
      <c r="N193" s="135"/>
      <c r="O193" s="135"/>
      <c r="P193" s="135"/>
      <c r="Q193" s="135"/>
      <c r="R193" s="135"/>
      <c r="S193" s="135"/>
      <c r="T193" s="135"/>
      <c r="U193" s="135"/>
      <c r="V193" s="135"/>
      <c r="W193" s="135"/>
      <c r="X193" s="135"/>
      <c r="Y193" s="135"/>
      <c r="Z193" s="135"/>
      <c r="AA193" s="135"/>
      <c r="AB193" s="135"/>
      <c r="AC193" s="135"/>
      <c r="AD193" s="135"/>
      <c r="AE193" s="135"/>
      <c r="AF193" s="135"/>
      <c r="AG193" s="135"/>
      <c r="AH193" s="135"/>
      <c r="AI193" s="136"/>
    </row>
    <row r="194" spans="1:35" x14ac:dyDescent="0.3">
      <c r="A194" s="134"/>
      <c r="B194" s="135"/>
      <c r="C194" s="135"/>
      <c r="D194" s="135"/>
      <c r="E194" s="135"/>
      <c r="F194" s="135"/>
      <c r="G194" s="135"/>
      <c r="H194" s="135"/>
      <c r="I194" s="135"/>
      <c r="J194" s="135"/>
      <c r="K194" s="135"/>
      <c r="L194" s="135"/>
      <c r="M194" s="135"/>
      <c r="N194" s="135"/>
      <c r="O194" s="135"/>
      <c r="P194" s="135"/>
      <c r="Q194" s="135"/>
      <c r="R194" s="135"/>
      <c r="S194" s="135"/>
      <c r="T194" s="135"/>
      <c r="U194" s="135"/>
      <c r="V194" s="135"/>
      <c r="W194" s="135"/>
      <c r="X194" s="135"/>
      <c r="Y194" s="135"/>
      <c r="Z194" s="135"/>
      <c r="AA194" s="135"/>
      <c r="AB194" s="135"/>
      <c r="AC194" s="135"/>
      <c r="AD194" s="135"/>
      <c r="AE194" s="135"/>
      <c r="AF194" s="135"/>
      <c r="AG194" s="135"/>
      <c r="AH194" s="135"/>
      <c r="AI194" s="136"/>
    </row>
    <row r="195" spans="1:35" x14ac:dyDescent="0.3">
      <c r="A195" s="134"/>
      <c r="B195" s="135"/>
      <c r="C195" s="135"/>
      <c r="D195" s="135"/>
      <c r="E195" s="135"/>
      <c r="F195" s="135"/>
      <c r="G195" s="135"/>
      <c r="H195" s="135"/>
      <c r="I195" s="135"/>
      <c r="J195" s="135"/>
      <c r="K195" s="135"/>
      <c r="L195" s="135"/>
      <c r="M195" s="135"/>
      <c r="N195" s="135"/>
      <c r="O195" s="135"/>
      <c r="P195" s="135"/>
      <c r="Q195" s="135"/>
      <c r="R195" s="135"/>
      <c r="S195" s="135"/>
      <c r="T195" s="135"/>
      <c r="U195" s="135"/>
      <c r="V195" s="135"/>
      <c r="W195" s="135"/>
      <c r="X195" s="135"/>
      <c r="Y195" s="135"/>
      <c r="Z195" s="135"/>
      <c r="AA195" s="135"/>
      <c r="AB195" s="135"/>
      <c r="AC195" s="135"/>
      <c r="AD195" s="135"/>
      <c r="AE195" s="135"/>
      <c r="AF195" s="135"/>
      <c r="AG195" s="135"/>
      <c r="AH195" s="135"/>
      <c r="AI195" s="136"/>
    </row>
    <row r="196" spans="1:35" ht="16.2" thickBot="1" x14ac:dyDescent="0.35">
      <c r="A196" s="137"/>
      <c r="B196" s="138"/>
      <c r="C196" s="138"/>
      <c r="D196" s="138"/>
      <c r="E196" s="138"/>
      <c r="F196" s="138"/>
      <c r="G196" s="138"/>
      <c r="H196" s="138"/>
      <c r="I196" s="138"/>
      <c r="J196" s="138"/>
      <c r="K196" s="138"/>
      <c r="L196" s="138"/>
      <c r="M196" s="138"/>
      <c r="N196" s="138"/>
      <c r="O196" s="138"/>
      <c r="P196" s="138"/>
      <c r="Q196" s="138"/>
      <c r="R196" s="138"/>
      <c r="S196" s="138"/>
      <c r="T196" s="138"/>
      <c r="U196" s="138"/>
      <c r="V196" s="138"/>
      <c r="W196" s="138"/>
      <c r="X196" s="138"/>
      <c r="Y196" s="138"/>
      <c r="Z196" s="138"/>
      <c r="AA196" s="138"/>
      <c r="AB196" s="138"/>
      <c r="AC196" s="138"/>
      <c r="AD196" s="138"/>
      <c r="AE196" s="138"/>
      <c r="AF196" s="138"/>
      <c r="AG196" s="138"/>
      <c r="AH196" s="138"/>
      <c r="AI196" s="139"/>
    </row>
    <row r="197" spans="1:35" x14ac:dyDescent="0.3">
      <c r="A197" s="131"/>
      <c r="B197" s="132"/>
      <c r="C197" s="132"/>
      <c r="D197" s="132"/>
      <c r="E197" s="132"/>
      <c r="F197" s="132"/>
      <c r="G197" s="132"/>
      <c r="H197" s="132"/>
      <c r="I197" s="132"/>
      <c r="J197" s="132"/>
      <c r="K197" s="132"/>
      <c r="L197" s="132"/>
      <c r="M197" s="132"/>
      <c r="N197" s="132"/>
      <c r="O197" s="132"/>
      <c r="P197" s="132"/>
      <c r="Q197" s="132"/>
      <c r="R197" s="132"/>
      <c r="S197" s="132"/>
      <c r="T197" s="132"/>
      <c r="U197" s="132"/>
      <c r="V197" s="132"/>
      <c r="W197" s="132"/>
      <c r="X197" s="132"/>
      <c r="Y197" s="132"/>
      <c r="Z197" s="132"/>
      <c r="AA197" s="132"/>
      <c r="AB197" s="132"/>
      <c r="AC197" s="132"/>
      <c r="AD197" s="132"/>
      <c r="AE197" s="132"/>
      <c r="AF197" s="132"/>
      <c r="AG197" s="132"/>
      <c r="AH197" s="132"/>
      <c r="AI197" s="133"/>
    </row>
    <row r="198" spans="1:35" x14ac:dyDescent="0.3">
      <c r="A198" s="134"/>
      <c r="B198" s="135"/>
      <c r="C198" s="135"/>
      <c r="D198" s="135"/>
      <c r="E198" s="135"/>
      <c r="F198" s="135"/>
      <c r="G198" s="135"/>
      <c r="H198" s="135"/>
      <c r="I198" s="135"/>
      <c r="J198" s="135"/>
      <c r="K198" s="135"/>
      <c r="L198" s="135"/>
      <c r="M198" s="135"/>
      <c r="N198" s="135"/>
      <c r="O198" s="135"/>
      <c r="P198" s="135"/>
      <c r="Q198" s="135"/>
      <c r="R198" s="135"/>
      <c r="S198" s="135"/>
      <c r="T198" s="135"/>
      <c r="U198" s="135"/>
      <c r="V198" s="135"/>
      <c r="W198" s="135"/>
      <c r="X198" s="135"/>
      <c r="Y198" s="135"/>
      <c r="Z198" s="135"/>
      <c r="AA198" s="135"/>
      <c r="AB198" s="135"/>
      <c r="AC198" s="135"/>
      <c r="AD198" s="135"/>
      <c r="AE198" s="135"/>
      <c r="AF198" s="135"/>
      <c r="AG198" s="135"/>
      <c r="AH198" s="135"/>
      <c r="AI198" s="136"/>
    </row>
    <row r="199" spans="1:35" x14ac:dyDescent="0.3">
      <c r="A199" s="134"/>
      <c r="B199" s="135"/>
      <c r="C199" s="135"/>
      <c r="D199" s="135"/>
      <c r="E199" s="135"/>
      <c r="F199" s="135"/>
      <c r="G199" s="135"/>
      <c r="H199" s="135"/>
      <c r="I199" s="135"/>
      <c r="J199" s="135"/>
      <c r="K199" s="135"/>
      <c r="L199" s="135"/>
      <c r="M199" s="135"/>
      <c r="N199" s="135"/>
      <c r="O199" s="135"/>
      <c r="P199" s="135"/>
      <c r="Q199" s="135"/>
      <c r="R199" s="135"/>
      <c r="S199" s="135"/>
      <c r="T199" s="135"/>
      <c r="U199" s="135"/>
      <c r="V199" s="135"/>
      <c r="W199" s="135"/>
      <c r="X199" s="135"/>
      <c r="Y199" s="135"/>
      <c r="Z199" s="135"/>
      <c r="AA199" s="135"/>
      <c r="AB199" s="135"/>
      <c r="AC199" s="135"/>
      <c r="AD199" s="135"/>
      <c r="AE199" s="135"/>
      <c r="AF199" s="135"/>
      <c r="AG199" s="135"/>
      <c r="AH199" s="135"/>
      <c r="AI199" s="136"/>
    </row>
    <row r="200" spans="1:35" x14ac:dyDescent="0.3">
      <c r="A200" s="134"/>
      <c r="B200" s="135"/>
      <c r="C200" s="135"/>
      <c r="D200" s="135"/>
      <c r="E200" s="135"/>
      <c r="F200" s="135"/>
      <c r="G200" s="135"/>
      <c r="H200" s="135"/>
      <c r="I200" s="135"/>
      <c r="J200" s="135"/>
      <c r="K200" s="135"/>
      <c r="L200" s="135"/>
      <c r="M200" s="135"/>
      <c r="N200" s="135"/>
      <c r="O200" s="135"/>
      <c r="P200" s="135"/>
      <c r="Q200" s="135"/>
      <c r="R200" s="135"/>
      <c r="S200" s="135"/>
      <c r="T200" s="135"/>
      <c r="U200" s="135"/>
      <c r="V200" s="135"/>
      <c r="W200" s="135"/>
      <c r="X200" s="135"/>
      <c r="Y200" s="135"/>
      <c r="Z200" s="135"/>
      <c r="AA200" s="135"/>
      <c r="AB200" s="135"/>
      <c r="AC200" s="135"/>
      <c r="AD200" s="135"/>
      <c r="AE200" s="135"/>
      <c r="AF200" s="135"/>
      <c r="AG200" s="135"/>
      <c r="AH200" s="135"/>
      <c r="AI200" s="136"/>
    </row>
    <row r="201" spans="1:35" x14ac:dyDescent="0.3">
      <c r="A201" s="134"/>
      <c r="B201" s="135"/>
      <c r="C201" s="135"/>
      <c r="D201" s="135"/>
      <c r="E201" s="135"/>
      <c r="F201" s="135"/>
      <c r="G201" s="135"/>
      <c r="H201" s="135"/>
      <c r="I201" s="135"/>
      <c r="J201" s="135"/>
      <c r="K201" s="135"/>
      <c r="L201" s="135"/>
      <c r="M201" s="135"/>
      <c r="N201" s="135"/>
      <c r="O201" s="135"/>
      <c r="P201" s="135"/>
      <c r="Q201" s="135"/>
      <c r="R201" s="135"/>
      <c r="S201" s="135"/>
      <c r="T201" s="135"/>
      <c r="U201" s="135"/>
      <c r="V201" s="135"/>
      <c r="W201" s="135"/>
      <c r="X201" s="135"/>
      <c r="Y201" s="135"/>
      <c r="Z201" s="135"/>
      <c r="AA201" s="135"/>
      <c r="AB201" s="135"/>
      <c r="AC201" s="135"/>
      <c r="AD201" s="148" t="s">
        <v>149</v>
      </c>
      <c r="AE201" s="149"/>
      <c r="AF201" s="149"/>
      <c r="AG201" s="149"/>
      <c r="AH201" s="149"/>
      <c r="AI201" s="136"/>
    </row>
    <row r="202" spans="1:35" x14ac:dyDescent="0.3">
      <c r="A202" s="134"/>
      <c r="B202" s="135"/>
      <c r="C202" s="135"/>
      <c r="D202" s="135"/>
      <c r="E202" s="135"/>
      <c r="F202" s="135"/>
      <c r="G202" s="135"/>
      <c r="H202" s="135"/>
      <c r="I202" s="135"/>
      <c r="J202" s="135"/>
      <c r="K202" s="135"/>
      <c r="L202" s="135"/>
      <c r="M202" s="135"/>
      <c r="N202" s="135"/>
      <c r="O202" s="135"/>
      <c r="P202" s="135"/>
      <c r="Q202" s="135"/>
      <c r="R202" s="135"/>
      <c r="S202" s="135"/>
      <c r="T202" s="135"/>
      <c r="U202" s="135"/>
      <c r="V202" s="135"/>
      <c r="W202" s="135"/>
      <c r="X202" s="135"/>
      <c r="Y202" s="135"/>
      <c r="Z202" s="135"/>
      <c r="AA202" s="135"/>
      <c r="AB202" s="135"/>
      <c r="AC202" s="135"/>
      <c r="AD202" s="149"/>
      <c r="AE202" s="149"/>
      <c r="AF202" s="149"/>
      <c r="AG202" s="149"/>
      <c r="AH202" s="149"/>
      <c r="AI202" s="136"/>
    </row>
    <row r="203" spans="1:35" x14ac:dyDescent="0.3">
      <c r="A203" s="134"/>
      <c r="B203" s="135"/>
      <c r="C203" s="135"/>
      <c r="D203" s="135"/>
      <c r="E203" s="135"/>
      <c r="F203" s="135"/>
      <c r="G203" s="135"/>
      <c r="H203" s="135"/>
      <c r="I203" s="135"/>
      <c r="J203" s="135"/>
      <c r="K203" s="135"/>
      <c r="L203" s="135"/>
      <c r="M203" s="135"/>
      <c r="N203" s="135"/>
      <c r="O203" s="135"/>
      <c r="P203" s="135"/>
      <c r="Q203" s="135"/>
      <c r="R203" s="135"/>
      <c r="S203" s="135"/>
      <c r="T203" s="135"/>
      <c r="U203" s="135"/>
      <c r="V203" s="135"/>
      <c r="W203" s="135"/>
      <c r="X203" s="135"/>
      <c r="Y203" s="135"/>
      <c r="Z203" s="135"/>
      <c r="AA203" s="135"/>
      <c r="AB203" s="135"/>
      <c r="AC203" s="135"/>
      <c r="AD203" s="149"/>
      <c r="AE203" s="149"/>
      <c r="AF203" s="149"/>
      <c r="AG203" s="149"/>
      <c r="AH203" s="149"/>
      <c r="AI203" s="136"/>
    </row>
    <row r="204" spans="1:35" x14ac:dyDescent="0.3">
      <c r="A204" s="134"/>
      <c r="B204" s="135"/>
      <c r="C204" s="135"/>
      <c r="D204" s="135"/>
      <c r="E204" s="135"/>
      <c r="F204" s="135"/>
      <c r="G204" s="135"/>
      <c r="H204" s="135"/>
      <c r="I204" s="135"/>
      <c r="J204" s="135"/>
      <c r="K204" s="135"/>
      <c r="L204" s="135"/>
      <c r="M204" s="135"/>
      <c r="N204" s="135"/>
      <c r="O204" s="135"/>
      <c r="P204" s="135"/>
      <c r="Q204" s="135"/>
      <c r="R204" s="135"/>
      <c r="S204" s="135"/>
      <c r="T204" s="135"/>
      <c r="U204" s="135"/>
      <c r="V204" s="135"/>
      <c r="W204" s="135"/>
      <c r="X204" s="135"/>
      <c r="Y204" s="135"/>
      <c r="Z204" s="135"/>
      <c r="AA204" s="135"/>
      <c r="AB204" s="135"/>
      <c r="AC204" s="135"/>
      <c r="AD204" s="149"/>
      <c r="AE204" s="149"/>
      <c r="AF204" s="149"/>
      <c r="AG204" s="149"/>
      <c r="AH204" s="149"/>
      <c r="AI204" s="136"/>
    </row>
    <row r="205" spans="1:35" x14ac:dyDescent="0.3">
      <c r="A205" s="134"/>
      <c r="B205" s="135"/>
      <c r="C205" s="135"/>
      <c r="D205" s="135"/>
      <c r="E205" s="135"/>
      <c r="F205" s="135"/>
      <c r="G205" s="135"/>
      <c r="H205" s="135"/>
      <c r="I205" s="135"/>
      <c r="J205" s="135"/>
      <c r="K205" s="135"/>
      <c r="L205" s="135"/>
      <c r="M205" s="135"/>
      <c r="N205" s="135"/>
      <c r="O205" s="135"/>
      <c r="P205" s="135"/>
      <c r="Q205" s="135"/>
      <c r="R205" s="135"/>
      <c r="S205" s="135"/>
      <c r="T205" s="135"/>
      <c r="U205" s="135"/>
      <c r="V205" s="135"/>
      <c r="W205" s="135"/>
      <c r="X205" s="135"/>
      <c r="Y205" s="135"/>
      <c r="Z205" s="135"/>
      <c r="AA205" s="135"/>
      <c r="AB205" s="135"/>
      <c r="AC205" s="135"/>
      <c r="AD205" s="149"/>
      <c r="AE205" s="149"/>
      <c r="AF205" s="149"/>
      <c r="AG205" s="149"/>
      <c r="AH205" s="149"/>
      <c r="AI205" s="136"/>
    </row>
    <row r="206" spans="1:35" x14ac:dyDescent="0.3">
      <c r="A206" s="134"/>
      <c r="B206" s="135"/>
      <c r="C206" s="135"/>
      <c r="D206" s="135"/>
      <c r="E206" s="135"/>
      <c r="F206" s="135"/>
      <c r="G206" s="135"/>
      <c r="H206" s="135"/>
      <c r="I206" s="135"/>
      <c r="J206" s="135"/>
      <c r="K206" s="135"/>
      <c r="L206" s="135"/>
      <c r="M206" s="135"/>
      <c r="N206" s="135"/>
      <c r="O206" s="135"/>
      <c r="P206" s="135"/>
      <c r="Q206" s="135"/>
      <c r="R206" s="135"/>
      <c r="S206" s="135"/>
      <c r="T206" s="135"/>
      <c r="U206" s="135"/>
      <c r="V206" s="135"/>
      <c r="W206" s="135"/>
      <c r="X206" s="135"/>
      <c r="Y206" s="135"/>
      <c r="Z206" s="135"/>
      <c r="AA206" s="135"/>
      <c r="AB206" s="135"/>
      <c r="AC206" s="135"/>
      <c r="AD206" s="149"/>
      <c r="AE206" s="149"/>
      <c r="AF206" s="149"/>
      <c r="AG206" s="149"/>
      <c r="AH206" s="149"/>
      <c r="AI206" s="136"/>
    </row>
    <row r="207" spans="1:35" x14ac:dyDescent="0.3">
      <c r="A207" s="134"/>
      <c r="B207" s="135"/>
      <c r="C207" s="135"/>
      <c r="D207" s="135"/>
      <c r="E207" s="135"/>
      <c r="F207" s="135"/>
      <c r="G207" s="135"/>
      <c r="H207" s="135"/>
      <c r="I207" s="135"/>
      <c r="J207" s="135"/>
      <c r="K207" s="135"/>
      <c r="L207" s="135"/>
      <c r="M207" s="135"/>
      <c r="N207" s="135"/>
      <c r="O207" s="135"/>
      <c r="P207" s="135"/>
      <c r="Q207" s="135"/>
      <c r="R207" s="135"/>
      <c r="S207" s="135"/>
      <c r="T207" s="135"/>
      <c r="U207" s="135"/>
      <c r="V207" s="135"/>
      <c r="W207" s="135"/>
      <c r="X207" s="135"/>
      <c r="Y207" s="135"/>
      <c r="Z207" s="135"/>
      <c r="AA207" s="135"/>
      <c r="AB207" s="135"/>
      <c r="AC207" s="135"/>
      <c r="AD207" s="149"/>
      <c r="AE207" s="149"/>
      <c r="AF207" s="149"/>
      <c r="AG207" s="149"/>
      <c r="AH207" s="149"/>
      <c r="AI207" s="136"/>
    </row>
    <row r="208" spans="1:35" x14ac:dyDescent="0.3">
      <c r="A208" s="134"/>
      <c r="B208" s="135"/>
      <c r="C208" s="135"/>
      <c r="D208" s="135"/>
      <c r="E208" s="135"/>
      <c r="F208" s="135"/>
      <c r="G208" s="135"/>
      <c r="H208" s="135"/>
      <c r="I208" s="135"/>
      <c r="J208" s="135"/>
      <c r="K208" s="135"/>
      <c r="L208" s="135"/>
      <c r="M208" s="135"/>
      <c r="N208" s="135"/>
      <c r="O208" s="135"/>
      <c r="P208" s="135"/>
      <c r="Q208" s="135"/>
      <c r="R208" s="135"/>
      <c r="S208" s="135"/>
      <c r="T208" s="135"/>
      <c r="U208" s="135"/>
      <c r="V208" s="135"/>
      <c r="W208" s="135"/>
      <c r="X208" s="135"/>
      <c r="Y208" s="135"/>
      <c r="Z208" s="135"/>
      <c r="AA208" s="135"/>
      <c r="AB208" s="135"/>
      <c r="AC208" s="135"/>
      <c r="AD208" s="135"/>
      <c r="AE208" s="135"/>
      <c r="AF208" s="135"/>
      <c r="AG208" s="135"/>
      <c r="AH208" s="135"/>
      <c r="AI208" s="136"/>
    </row>
    <row r="209" spans="1:35" x14ac:dyDescent="0.3">
      <c r="A209" s="134"/>
      <c r="B209" s="135"/>
      <c r="C209" s="135"/>
      <c r="D209" s="135"/>
      <c r="E209" s="135"/>
      <c r="F209" s="135"/>
      <c r="G209" s="135"/>
      <c r="H209" s="135"/>
      <c r="I209" s="135"/>
      <c r="J209" s="135"/>
      <c r="K209" s="135"/>
      <c r="L209" s="135"/>
      <c r="M209" s="135"/>
      <c r="N209" s="135"/>
      <c r="O209" s="135"/>
      <c r="P209" s="135"/>
      <c r="Q209" s="135"/>
      <c r="R209" s="135"/>
      <c r="S209" s="135"/>
      <c r="T209" s="135"/>
      <c r="U209" s="135"/>
      <c r="V209" s="135"/>
      <c r="W209" s="135"/>
      <c r="X209" s="135"/>
      <c r="Y209" s="135"/>
      <c r="Z209" s="135"/>
      <c r="AA209" s="135"/>
      <c r="AB209" s="135"/>
      <c r="AC209" s="135"/>
      <c r="AD209" s="135"/>
      <c r="AE209" s="135"/>
      <c r="AF209" s="135"/>
      <c r="AG209" s="135"/>
      <c r="AH209" s="135"/>
      <c r="AI209" s="136"/>
    </row>
    <row r="210" spans="1:35" x14ac:dyDescent="0.3">
      <c r="A210" s="134"/>
      <c r="B210" s="135"/>
      <c r="C210" s="135"/>
      <c r="D210" s="135"/>
      <c r="E210" s="135"/>
      <c r="F210" s="135"/>
      <c r="G210" s="135"/>
      <c r="H210" s="135"/>
      <c r="I210" s="135"/>
      <c r="J210" s="135"/>
      <c r="K210" s="135"/>
      <c r="L210" s="135"/>
      <c r="M210" s="135"/>
      <c r="N210" s="135"/>
      <c r="O210" s="135"/>
      <c r="P210" s="135"/>
      <c r="Q210" s="135"/>
      <c r="R210" s="135"/>
      <c r="S210" s="135"/>
      <c r="T210" s="135"/>
      <c r="U210" s="135"/>
      <c r="V210" s="135"/>
      <c r="W210" s="135"/>
      <c r="X210" s="135"/>
      <c r="Y210" s="135"/>
      <c r="Z210" s="135"/>
      <c r="AA210" s="135"/>
      <c r="AB210" s="135"/>
      <c r="AC210" s="135"/>
      <c r="AD210" s="135"/>
      <c r="AE210" s="135"/>
      <c r="AF210" s="135"/>
      <c r="AG210" s="135"/>
      <c r="AH210" s="135"/>
      <c r="AI210" s="136"/>
    </row>
    <row r="211" spans="1:35" x14ac:dyDescent="0.3">
      <c r="A211" s="134"/>
      <c r="B211" s="135"/>
      <c r="C211" s="135"/>
      <c r="D211" s="135"/>
      <c r="E211" s="135"/>
      <c r="F211" s="135"/>
      <c r="G211" s="135"/>
      <c r="H211" s="135"/>
      <c r="I211" s="135"/>
      <c r="J211" s="135"/>
      <c r="K211" s="135"/>
      <c r="L211" s="135"/>
      <c r="M211" s="135"/>
      <c r="N211" s="135"/>
      <c r="O211" s="135"/>
      <c r="P211" s="135"/>
      <c r="Q211" s="135"/>
      <c r="R211" s="135"/>
      <c r="S211" s="135"/>
      <c r="T211" s="135"/>
      <c r="U211" s="135"/>
      <c r="V211" s="135"/>
      <c r="W211" s="135"/>
      <c r="X211" s="135"/>
      <c r="Y211" s="135"/>
      <c r="Z211" s="135"/>
      <c r="AA211" s="135"/>
      <c r="AB211" s="135"/>
      <c r="AC211" s="135"/>
      <c r="AD211" s="135"/>
      <c r="AE211" s="135"/>
      <c r="AF211" s="135"/>
      <c r="AG211" s="135"/>
      <c r="AH211" s="135"/>
      <c r="AI211" s="136"/>
    </row>
    <row r="212" spans="1:35" ht="16.2" thickBot="1" x14ac:dyDescent="0.35">
      <c r="A212" s="137"/>
      <c r="B212" s="138"/>
      <c r="C212" s="138"/>
      <c r="D212" s="138"/>
      <c r="E212" s="138"/>
      <c r="F212" s="138"/>
      <c r="G212" s="138"/>
      <c r="H212" s="138"/>
      <c r="I212" s="138"/>
      <c r="J212" s="138"/>
      <c r="K212" s="138"/>
      <c r="L212" s="138"/>
      <c r="M212" s="138"/>
      <c r="N212" s="138"/>
      <c r="O212" s="138"/>
      <c r="P212" s="138"/>
      <c r="Q212" s="138"/>
      <c r="R212" s="138"/>
      <c r="S212" s="138"/>
      <c r="T212" s="138"/>
      <c r="U212" s="138"/>
      <c r="V212" s="138"/>
      <c r="W212" s="138"/>
      <c r="X212" s="138"/>
      <c r="Y212" s="138"/>
      <c r="Z212" s="138"/>
      <c r="AA212" s="138"/>
      <c r="AB212" s="138"/>
      <c r="AC212" s="138"/>
      <c r="AD212" s="138"/>
      <c r="AE212" s="138"/>
      <c r="AF212" s="138"/>
      <c r="AG212" s="138"/>
      <c r="AH212" s="138"/>
      <c r="AI212" s="139"/>
    </row>
    <row r="213" spans="1:35" x14ac:dyDescent="0.3">
      <c r="A213" s="131"/>
      <c r="B213" s="132"/>
      <c r="C213" s="132"/>
      <c r="D213" s="132"/>
      <c r="E213" s="132"/>
      <c r="F213" s="132"/>
      <c r="G213" s="132"/>
      <c r="H213" s="132"/>
      <c r="I213" s="132"/>
      <c r="J213" s="132"/>
      <c r="K213" s="132"/>
      <c r="L213" s="132"/>
      <c r="M213" s="132"/>
      <c r="N213" s="132"/>
      <c r="O213" s="132"/>
      <c r="P213" s="132"/>
      <c r="Q213" s="132"/>
      <c r="R213" s="132"/>
      <c r="S213" s="132"/>
      <c r="T213" s="132"/>
      <c r="U213" s="132"/>
      <c r="V213" s="132"/>
      <c r="W213" s="132"/>
      <c r="X213" s="132"/>
      <c r="Y213" s="132"/>
      <c r="Z213" s="132"/>
      <c r="AA213" s="132"/>
      <c r="AB213" s="132"/>
      <c r="AC213" s="132"/>
      <c r="AD213" s="132"/>
      <c r="AE213" s="132"/>
      <c r="AF213" s="132"/>
      <c r="AG213" s="132"/>
      <c r="AH213" s="132"/>
      <c r="AI213" s="133"/>
    </row>
    <row r="214" spans="1:35" x14ac:dyDescent="0.3">
      <c r="A214" s="134"/>
      <c r="B214" s="135"/>
      <c r="C214" s="135"/>
      <c r="D214" s="135"/>
      <c r="E214" s="135"/>
      <c r="F214" s="135"/>
      <c r="G214" s="135"/>
      <c r="H214" s="135"/>
      <c r="I214" s="135"/>
      <c r="J214" s="135"/>
      <c r="K214" s="135"/>
      <c r="L214" s="135"/>
      <c r="M214" s="135"/>
      <c r="N214" s="135"/>
      <c r="O214" s="135"/>
      <c r="P214" s="135"/>
      <c r="Q214" s="135"/>
      <c r="R214" s="135"/>
      <c r="S214" s="135"/>
      <c r="T214" s="135"/>
      <c r="U214" s="135"/>
      <c r="V214" s="135"/>
      <c r="W214" s="135"/>
      <c r="X214" s="135"/>
      <c r="Y214" s="135"/>
      <c r="Z214" s="135"/>
      <c r="AA214" s="135"/>
      <c r="AB214" s="135"/>
      <c r="AC214" s="135"/>
      <c r="AD214" s="135"/>
      <c r="AE214" s="135"/>
      <c r="AF214" s="135"/>
      <c r="AG214" s="135"/>
      <c r="AH214" s="135"/>
      <c r="AI214" s="136"/>
    </row>
    <row r="215" spans="1:35" x14ac:dyDescent="0.3">
      <c r="A215" s="134"/>
      <c r="B215" s="135"/>
      <c r="C215" s="135"/>
      <c r="D215" s="135"/>
      <c r="E215" s="135"/>
      <c r="F215" s="135"/>
      <c r="G215" s="135"/>
      <c r="H215" s="135"/>
      <c r="I215" s="135"/>
      <c r="J215" s="135"/>
      <c r="K215" s="135"/>
      <c r="L215" s="135"/>
      <c r="M215" s="135"/>
      <c r="N215" s="135"/>
      <c r="O215" s="135"/>
      <c r="P215" s="135"/>
      <c r="Q215" s="135"/>
      <c r="R215" s="135"/>
      <c r="S215" s="135"/>
      <c r="T215" s="135"/>
      <c r="U215" s="135"/>
      <c r="V215" s="135"/>
      <c r="W215" s="135"/>
      <c r="X215" s="135"/>
      <c r="Y215" s="135"/>
      <c r="Z215" s="135"/>
      <c r="AA215" s="135"/>
      <c r="AB215" s="135"/>
      <c r="AC215" s="135"/>
      <c r="AD215" s="135"/>
      <c r="AE215" s="135"/>
      <c r="AF215" s="135"/>
      <c r="AG215" s="135"/>
      <c r="AH215" s="135"/>
      <c r="AI215" s="136"/>
    </row>
    <row r="216" spans="1:35" x14ac:dyDescent="0.3">
      <c r="A216" s="134"/>
      <c r="B216" s="135"/>
      <c r="C216" s="135"/>
      <c r="D216" s="135"/>
      <c r="E216" s="135"/>
      <c r="F216" s="135"/>
      <c r="G216" s="135"/>
      <c r="H216" s="135"/>
      <c r="I216" s="135"/>
      <c r="J216" s="135"/>
      <c r="K216" s="135"/>
      <c r="L216" s="135"/>
      <c r="M216" s="135"/>
      <c r="N216" s="135"/>
      <c r="O216" s="135"/>
      <c r="P216" s="135"/>
      <c r="Q216" s="135"/>
      <c r="R216" s="135"/>
      <c r="S216" s="135"/>
      <c r="T216" s="135"/>
      <c r="U216" s="135"/>
      <c r="V216" s="135"/>
      <c r="W216" s="135"/>
      <c r="X216" s="135"/>
      <c r="Y216" s="135"/>
      <c r="Z216" s="135"/>
      <c r="AA216" s="135"/>
      <c r="AB216" s="135"/>
      <c r="AC216" s="135"/>
      <c r="AD216" s="135"/>
      <c r="AE216" s="135"/>
      <c r="AF216" s="135"/>
      <c r="AG216" s="135"/>
      <c r="AH216" s="135"/>
      <c r="AI216" s="136"/>
    </row>
    <row r="217" spans="1:35" x14ac:dyDescent="0.3">
      <c r="A217" s="134"/>
      <c r="B217" s="135"/>
      <c r="C217" s="135"/>
      <c r="D217" s="135"/>
      <c r="E217" s="135"/>
      <c r="F217" s="135"/>
      <c r="G217" s="135"/>
      <c r="H217" s="135"/>
      <c r="I217" s="135"/>
      <c r="J217" s="135"/>
      <c r="K217" s="135"/>
      <c r="L217" s="135"/>
      <c r="M217" s="135"/>
      <c r="N217" s="135"/>
      <c r="O217" s="135"/>
      <c r="P217" s="135"/>
      <c r="Q217" s="135"/>
      <c r="R217" s="135"/>
      <c r="S217" s="135"/>
      <c r="T217" s="135"/>
      <c r="U217" s="135"/>
      <c r="V217" s="135"/>
      <c r="W217" s="135"/>
      <c r="X217" s="135"/>
      <c r="Y217" s="135"/>
      <c r="Z217" s="135"/>
      <c r="AA217" s="135"/>
      <c r="AB217" s="135"/>
      <c r="AC217" s="135"/>
      <c r="AD217" s="135"/>
      <c r="AE217" s="135"/>
      <c r="AF217" s="135"/>
      <c r="AG217" s="135"/>
      <c r="AH217" s="135"/>
      <c r="AI217" s="136"/>
    </row>
    <row r="218" spans="1:35" x14ac:dyDescent="0.3">
      <c r="A218" s="134"/>
      <c r="B218" s="135"/>
      <c r="C218" s="135"/>
      <c r="D218" s="135"/>
      <c r="E218" s="135"/>
      <c r="F218" s="135"/>
      <c r="G218" s="135"/>
      <c r="H218" s="135"/>
      <c r="I218" s="135"/>
      <c r="J218" s="135"/>
      <c r="K218" s="135"/>
      <c r="L218" s="135"/>
      <c r="M218" s="135"/>
      <c r="N218" s="135"/>
      <c r="O218" s="135"/>
      <c r="P218" s="135"/>
      <c r="Q218" s="135"/>
      <c r="R218" s="135"/>
      <c r="S218" s="135"/>
      <c r="T218" s="135"/>
      <c r="U218" s="135"/>
      <c r="V218" s="135"/>
      <c r="W218" s="135"/>
      <c r="X218" s="135"/>
      <c r="Y218" s="135"/>
      <c r="Z218" s="135"/>
      <c r="AA218" s="135"/>
      <c r="AB218" s="135"/>
      <c r="AC218" s="135"/>
      <c r="AD218" s="148" t="s">
        <v>150</v>
      </c>
      <c r="AE218" s="149"/>
      <c r="AF218" s="149"/>
      <c r="AG218" s="149"/>
      <c r="AH218" s="149"/>
      <c r="AI218" s="136"/>
    </row>
    <row r="219" spans="1:35" x14ac:dyDescent="0.3">
      <c r="A219" s="134"/>
      <c r="B219" s="135"/>
      <c r="C219" s="135"/>
      <c r="D219" s="135"/>
      <c r="E219" s="135"/>
      <c r="F219" s="135"/>
      <c r="G219" s="135"/>
      <c r="H219" s="135"/>
      <c r="I219" s="135"/>
      <c r="J219" s="135"/>
      <c r="K219" s="135"/>
      <c r="L219" s="135"/>
      <c r="M219" s="135"/>
      <c r="N219" s="135"/>
      <c r="O219" s="135"/>
      <c r="P219" s="135"/>
      <c r="Q219" s="135"/>
      <c r="R219" s="135"/>
      <c r="S219" s="135"/>
      <c r="T219" s="135"/>
      <c r="U219" s="135"/>
      <c r="V219" s="135"/>
      <c r="W219" s="135"/>
      <c r="X219" s="135"/>
      <c r="Y219" s="135"/>
      <c r="Z219" s="135"/>
      <c r="AA219" s="135"/>
      <c r="AB219" s="135"/>
      <c r="AC219" s="135"/>
      <c r="AD219" s="149"/>
      <c r="AE219" s="149"/>
      <c r="AF219" s="149"/>
      <c r="AG219" s="149"/>
      <c r="AH219" s="149"/>
      <c r="AI219" s="136"/>
    </row>
    <row r="220" spans="1:35" x14ac:dyDescent="0.3">
      <c r="A220" s="134"/>
      <c r="B220" s="135"/>
      <c r="C220" s="135"/>
      <c r="D220" s="135"/>
      <c r="E220" s="135"/>
      <c r="F220" s="135"/>
      <c r="G220" s="135"/>
      <c r="H220" s="135"/>
      <c r="I220" s="135"/>
      <c r="J220" s="135"/>
      <c r="K220" s="135"/>
      <c r="L220" s="135"/>
      <c r="M220" s="135"/>
      <c r="N220" s="135"/>
      <c r="O220" s="135"/>
      <c r="P220" s="135"/>
      <c r="Q220" s="135"/>
      <c r="R220" s="135"/>
      <c r="S220" s="135"/>
      <c r="T220" s="135"/>
      <c r="U220" s="135"/>
      <c r="V220" s="135"/>
      <c r="W220" s="135"/>
      <c r="X220" s="135"/>
      <c r="Y220" s="135"/>
      <c r="Z220" s="135"/>
      <c r="AA220" s="135"/>
      <c r="AB220" s="135"/>
      <c r="AC220" s="135"/>
      <c r="AD220" s="149"/>
      <c r="AE220" s="149"/>
      <c r="AF220" s="149"/>
      <c r="AG220" s="149"/>
      <c r="AH220" s="149"/>
      <c r="AI220" s="136"/>
    </row>
    <row r="221" spans="1:35" x14ac:dyDescent="0.3">
      <c r="A221" s="134"/>
      <c r="B221" s="135"/>
      <c r="C221" s="135"/>
      <c r="D221" s="135"/>
      <c r="E221" s="135"/>
      <c r="F221" s="135"/>
      <c r="G221" s="135"/>
      <c r="H221" s="135"/>
      <c r="I221" s="135"/>
      <c r="J221" s="135"/>
      <c r="K221" s="135"/>
      <c r="L221" s="135"/>
      <c r="M221" s="135"/>
      <c r="N221" s="135"/>
      <c r="O221" s="135"/>
      <c r="P221" s="135"/>
      <c r="Q221" s="135"/>
      <c r="R221" s="135"/>
      <c r="S221" s="135"/>
      <c r="T221" s="135"/>
      <c r="U221" s="135"/>
      <c r="V221" s="135"/>
      <c r="W221" s="135"/>
      <c r="X221" s="135"/>
      <c r="Y221" s="135"/>
      <c r="Z221" s="135"/>
      <c r="AA221" s="135"/>
      <c r="AB221" s="135"/>
      <c r="AC221" s="135"/>
      <c r="AD221" s="149"/>
      <c r="AE221" s="149"/>
      <c r="AF221" s="149"/>
      <c r="AG221" s="149"/>
      <c r="AH221" s="149"/>
      <c r="AI221" s="136"/>
    </row>
    <row r="222" spans="1:35" x14ac:dyDescent="0.3">
      <c r="A222" s="134"/>
      <c r="B222" s="135"/>
      <c r="C222" s="135"/>
      <c r="D222" s="135"/>
      <c r="E222" s="135"/>
      <c r="F222" s="135"/>
      <c r="G222" s="135"/>
      <c r="H222" s="135"/>
      <c r="I222" s="135"/>
      <c r="J222" s="135"/>
      <c r="K222" s="135"/>
      <c r="L222" s="135"/>
      <c r="M222" s="135"/>
      <c r="N222" s="135"/>
      <c r="O222" s="135"/>
      <c r="P222" s="135"/>
      <c r="Q222" s="135"/>
      <c r="R222" s="135"/>
      <c r="S222" s="135"/>
      <c r="T222" s="135"/>
      <c r="U222" s="135"/>
      <c r="V222" s="135"/>
      <c r="W222" s="135"/>
      <c r="X222" s="135"/>
      <c r="Y222" s="135"/>
      <c r="Z222" s="135"/>
      <c r="AA222" s="135"/>
      <c r="AB222" s="135"/>
      <c r="AC222" s="135"/>
      <c r="AD222" s="149"/>
      <c r="AE222" s="149"/>
      <c r="AF222" s="149"/>
      <c r="AG222" s="149"/>
      <c r="AH222" s="149"/>
      <c r="AI222" s="136"/>
    </row>
    <row r="223" spans="1:35" x14ac:dyDescent="0.3">
      <c r="A223" s="134"/>
      <c r="B223" s="135"/>
      <c r="C223" s="135"/>
      <c r="D223" s="135"/>
      <c r="E223" s="135"/>
      <c r="F223" s="135"/>
      <c r="G223" s="135"/>
      <c r="H223" s="135"/>
      <c r="I223" s="135"/>
      <c r="J223" s="135"/>
      <c r="K223" s="135"/>
      <c r="L223" s="135"/>
      <c r="M223" s="135"/>
      <c r="N223" s="135"/>
      <c r="O223" s="135"/>
      <c r="P223" s="135"/>
      <c r="Q223" s="135"/>
      <c r="R223" s="135"/>
      <c r="S223" s="135"/>
      <c r="T223" s="135"/>
      <c r="U223" s="135"/>
      <c r="V223" s="135"/>
      <c r="W223" s="135"/>
      <c r="X223" s="135"/>
      <c r="Y223" s="135"/>
      <c r="Z223" s="135"/>
      <c r="AA223" s="135"/>
      <c r="AB223" s="135"/>
      <c r="AC223" s="135"/>
      <c r="AD223" s="149"/>
      <c r="AE223" s="149"/>
      <c r="AF223" s="149"/>
      <c r="AG223" s="149"/>
      <c r="AH223" s="149"/>
      <c r="AI223" s="136"/>
    </row>
    <row r="224" spans="1:35" x14ac:dyDescent="0.3">
      <c r="A224" s="134"/>
      <c r="B224" s="135"/>
      <c r="C224" s="135"/>
      <c r="D224" s="135"/>
      <c r="E224" s="135"/>
      <c r="F224" s="135"/>
      <c r="G224" s="135"/>
      <c r="H224" s="135"/>
      <c r="I224" s="135"/>
      <c r="J224" s="135"/>
      <c r="K224" s="135"/>
      <c r="L224" s="135"/>
      <c r="M224" s="135"/>
      <c r="N224" s="135"/>
      <c r="O224" s="135"/>
      <c r="P224" s="135"/>
      <c r="Q224" s="135"/>
      <c r="R224" s="135"/>
      <c r="S224" s="135"/>
      <c r="T224" s="135"/>
      <c r="U224" s="135"/>
      <c r="V224" s="135"/>
      <c r="W224" s="135"/>
      <c r="X224" s="135"/>
      <c r="Y224" s="135"/>
      <c r="Z224" s="135"/>
      <c r="AA224" s="135"/>
      <c r="AB224" s="135"/>
      <c r="AC224" s="135"/>
      <c r="AD224" s="149"/>
      <c r="AE224" s="149"/>
      <c r="AF224" s="149"/>
      <c r="AG224" s="149"/>
      <c r="AH224" s="149"/>
      <c r="AI224" s="136"/>
    </row>
    <row r="225" spans="1:35" x14ac:dyDescent="0.3">
      <c r="A225" s="134"/>
      <c r="B225" s="135"/>
      <c r="C225" s="135"/>
      <c r="D225" s="135"/>
      <c r="E225" s="135"/>
      <c r="F225" s="135"/>
      <c r="G225" s="135"/>
      <c r="H225" s="135"/>
      <c r="I225" s="135"/>
      <c r="J225" s="135"/>
      <c r="K225" s="135"/>
      <c r="L225" s="135"/>
      <c r="M225" s="135"/>
      <c r="N225" s="135"/>
      <c r="O225" s="135"/>
      <c r="P225" s="135"/>
      <c r="Q225" s="135"/>
      <c r="R225" s="135"/>
      <c r="S225" s="135"/>
      <c r="T225" s="135"/>
      <c r="U225" s="135"/>
      <c r="V225" s="135"/>
      <c r="W225" s="135"/>
      <c r="X225" s="135"/>
      <c r="Y225" s="135"/>
      <c r="Z225" s="135"/>
      <c r="AA225" s="135"/>
      <c r="AB225" s="135"/>
      <c r="AC225" s="135"/>
      <c r="AD225" s="135"/>
      <c r="AE225" s="135"/>
      <c r="AF225" s="135"/>
      <c r="AG225" s="135"/>
      <c r="AH225" s="135"/>
      <c r="AI225" s="136"/>
    </row>
    <row r="226" spans="1:35" x14ac:dyDescent="0.3">
      <c r="A226" s="134"/>
      <c r="B226" s="135"/>
      <c r="C226" s="135"/>
      <c r="D226" s="135"/>
      <c r="E226" s="135"/>
      <c r="F226" s="135"/>
      <c r="G226" s="135"/>
      <c r="H226" s="135"/>
      <c r="I226" s="135"/>
      <c r="J226" s="135"/>
      <c r="K226" s="135"/>
      <c r="L226" s="135"/>
      <c r="M226" s="135"/>
      <c r="N226" s="135"/>
      <c r="O226" s="135"/>
      <c r="P226" s="135"/>
      <c r="Q226" s="135"/>
      <c r="R226" s="135"/>
      <c r="S226" s="135"/>
      <c r="T226" s="135"/>
      <c r="U226" s="135"/>
      <c r="V226" s="135"/>
      <c r="W226" s="135"/>
      <c r="X226" s="135"/>
      <c r="Y226" s="135"/>
      <c r="Z226" s="135"/>
      <c r="AA226" s="135"/>
      <c r="AB226" s="135"/>
      <c r="AC226" s="135"/>
      <c r="AD226" s="135"/>
      <c r="AE226" s="135"/>
      <c r="AF226" s="135"/>
      <c r="AG226" s="135"/>
      <c r="AH226" s="135"/>
      <c r="AI226" s="136"/>
    </row>
    <row r="227" spans="1:35" x14ac:dyDescent="0.3">
      <c r="A227" s="134"/>
      <c r="B227" s="135"/>
      <c r="C227" s="135"/>
      <c r="D227" s="135"/>
      <c r="E227" s="135"/>
      <c r="F227" s="135"/>
      <c r="G227" s="135"/>
      <c r="H227" s="135"/>
      <c r="I227" s="135"/>
      <c r="J227" s="135"/>
      <c r="K227" s="135"/>
      <c r="L227" s="135"/>
      <c r="M227" s="135"/>
      <c r="N227" s="135"/>
      <c r="O227" s="135"/>
      <c r="P227" s="135"/>
      <c r="Q227" s="135"/>
      <c r="R227" s="135"/>
      <c r="S227" s="135"/>
      <c r="T227" s="135"/>
      <c r="U227" s="135"/>
      <c r="V227" s="135"/>
      <c r="W227" s="135"/>
      <c r="X227" s="135"/>
      <c r="Y227" s="135"/>
      <c r="Z227" s="135"/>
      <c r="AA227" s="135"/>
      <c r="AB227" s="135"/>
      <c r="AC227" s="135"/>
      <c r="AD227" s="135"/>
      <c r="AE227" s="135"/>
      <c r="AF227" s="135"/>
      <c r="AG227" s="135"/>
      <c r="AH227" s="135"/>
      <c r="AI227" s="136"/>
    </row>
    <row r="228" spans="1:35" x14ac:dyDescent="0.3">
      <c r="A228" s="134"/>
      <c r="B228" s="135"/>
      <c r="C228" s="135"/>
      <c r="D228" s="135"/>
      <c r="E228" s="135"/>
      <c r="F228" s="135"/>
      <c r="G228" s="135"/>
      <c r="H228" s="135"/>
      <c r="I228" s="135"/>
      <c r="J228" s="135"/>
      <c r="K228" s="135"/>
      <c r="L228" s="135"/>
      <c r="M228" s="135"/>
      <c r="N228" s="135"/>
      <c r="O228" s="135"/>
      <c r="P228" s="135"/>
      <c r="Q228" s="135"/>
      <c r="R228" s="135"/>
      <c r="S228" s="135"/>
      <c r="T228" s="135"/>
      <c r="U228" s="135"/>
      <c r="V228" s="135"/>
      <c r="W228" s="135"/>
      <c r="X228" s="135"/>
      <c r="Y228" s="135"/>
      <c r="Z228" s="135"/>
      <c r="AA228" s="135"/>
      <c r="AB228" s="135"/>
      <c r="AC228" s="135"/>
      <c r="AD228" s="135"/>
      <c r="AE228" s="135"/>
      <c r="AF228" s="135"/>
      <c r="AG228" s="135"/>
      <c r="AH228" s="135"/>
      <c r="AI228" s="136"/>
    </row>
    <row r="229" spans="1:35" ht="16.2" thickBot="1" x14ac:dyDescent="0.35">
      <c r="A229" s="137"/>
      <c r="B229" s="138"/>
      <c r="C229" s="138"/>
      <c r="D229" s="138"/>
      <c r="E229" s="138"/>
      <c r="F229" s="138"/>
      <c r="G229" s="138"/>
      <c r="H229" s="138"/>
      <c r="I229" s="138"/>
      <c r="J229" s="138"/>
      <c r="K229" s="138"/>
      <c r="L229" s="138"/>
      <c r="M229" s="138"/>
      <c r="N229" s="138"/>
      <c r="O229" s="138"/>
      <c r="P229" s="138"/>
      <c r="Q229" s="138"/>
      <c r="R229" s="138"/>
      <c r="S229" s="138"/>
      <c r="T229" s="138"/>
      <c r="U229" s="138"/>
      <c r="V229" s="138"/>
      <c r="W229" s="138"/>
      <c r="X229" s="138"/>
      <c r="Y229" s="138"/>
      <c r="Z229" s="138"/>
      <c r="AA229" s="138"/>
      <c r="AB229" s="138"/>
      <c r="AC229" s="138"/>
      <c r="AD229" s="138"/>
      <c r="AE229" s="138"/>
      <c r="AF229" s="138"/>
      <c r="AG229" s="138"/>
      <c r="AH229" s="138"/>
      <c r="AI229" s="139"/>
    </row>
    <row r="230" spans="1:35" x14ac:dyDescent="0.3">
      <c r="A230" s="131"/>
      <c r="B230" s="132"/>
      <c r="C230" s="132"/>
      <c r="D230" s="132"/>
      <c r="E230" s="132"/>
      <c r="F230" s="132"/>
      <c r="G230" s="132"/>
      <c r="H230" s="132"/>
      <c r="I230" s="132"/>
      <c r="J230" s="132"/>
      <c r="K230" s="132"/>
      <c r="L230" s="132"/>
      <c r="M230" s="132"/>
      <c r="N230" s="132"/>
      <c r="O230" s="132"/>
      <c r="P230" s="132"/>
      <c r="Q230" s="132"/>
      <c r="R230" s="132"/>
      <c r="S230" s="132"/>
      <c r="T230" s="132"/>
      <c r="U230" s="132"/>
      <c r="V230" s="132"/>
      <c r="W230" s="132"/>
      <c r="X230" s="132"/>
      <c r="Y230" s="132"/>
      <c r="Z230" s="132"/>
      <c r="AA230" s="132"/>
      <c r="AB230" s="132"/>
      <c r="AC230" s="132"/>
      <c r="AD230" s="132"/>
      <c r="AE230" s="132"/>
      <c r="AF230" s="132"/>
      <c r="AG230" s="132"/>
      <c r="AH230" s="132"/>
      <c r="AI230" s="133"/>
    </row>
    <row r="231" spans="1:35" x14ac:dyDescent="0.3">
      <c r="A231" s="134"/>
      <c r="B231" s="135"/>
      <c r="C231" s="135"/>
      <c r="D231" s="135"/>
      <c r="E231" s="135"/>
      <c r="F231" s="135"/>
      <c r="G231" s="135"/>
      <c r="H231" s="135"/>
      <c r="I231" s="135"/>
      <c r="J231" s="135"/>
      <c r="K231" s="135"/>
      <c r="L231" s="135"/>
      <c r="M231" s="135"/>
      <c r="N231" s="135"/>
      <c r="O231" s="135"/>
      <c r="P231" s="135"/>
      <c r="Q231" s="135"/>
      <c r="R231" s="135"/>
      <c r="S231" s="135"/>
      <c r="T231" s="135"/>
      <c r="U231" s="135"/>
      <c r="V231" s="135"/>
      <c r="W231" s="135"/>
      <c r="X231" s="135"/>
      <c r="Y231" s="135"/>
      <c r="Z231" s="135"/>
      <c r="AA231" s="135"/>
      <c r="AB231" s="135"/>
      <c r="AC231" s="135"/>
      <c r="AD231" s="135"/>
      <c r="AE231" s="135"/>
      <c r="AF231" s="135"/>
      <c r="AG231" s="135"/>
      <c r="AH231" s="135"/>
      <c r="AI231" s="136"/>
    </row>
    <row r="232" spans="1:35" x14ac:dyDescent="0.3">
      <c r="A232" s="134"/>
      <c r="B232" s="135"/>
      <c r="C232" s="135"/>
      <c r="D232" s="135"/>
      <c r="E232" s="135"/>
      <c r="F232" s="135"/>
      <c r="G232" s="135"/>
      <c r="H232" s="135"/>
      <c r="I232" s="135"/>
      <c r="J232" s="135"/>
      <c r="K232" s="135"/>
      <c r="L232" s="135"/>
      <c r="M232" s="135"/>
      <c r="N232" s="135"/>
      <c r="O232" s="135"/>
      <c r="P232" s="135"/>
      <c r="Q232" s="135"/>
      <c r="R232" s="135"/>
      <c r="S232" s="135"/>
      <c r="T232" s="135"/>
      <c r="U232" s="135"/>
      <c r="V232" s="135"/>
      <c r="W232" s="135"/>
      <c r="X232" s="135"/>
      <c r="Y232" s="135"/>
      <c r="Z232" s="135"/>
      <c r="AA232" s="135"/>
      <c r="AB232" s="135"/>
      <c r="AC232" s="135"/>
      <c r="AD232" s="135"/>
      <c r="AE232" s="135"/>
      <c r="AF232" s="135"/>
      <c r="AG232" s="135"/>
      <c r="AH232" s="135"/>
      <c r="AI232" s="136"/>
    </row>
    <row r="233" spans="1:35" x14ac:dyDescent="0.3">
      <c r="A233" s="134"/>
      <c r="B233" s="135"/>
      <c r="C233" s="135"/>
      <c r="D233" s="135"/>
      <c r="E233" s="135"/>
      <c r="F233" s="135"/>
      <c r="G233" s="135"/>
      <c r="H233" s="135"/>
      <c r="I233" s="135"/>
      <c r="J233" s="135"/>
      <c r="K233" s="135"/>
      <c r="L233" s="135"/>
      <c r="M233" s="135"/>
      <c r="N233" s="135"/>
      <c r="O233" s="135"/>
      <c r="P233" s="135"/>
      <c r="Q233" s="135"/>
      <c r="R233" s="135"/>
      <c r="S233" s="135"/>
      <c r="T233" s="135"/>
      <c r="U233" s="135"/>
      <c r="V233" s="135"/>
      <c r="W233" s="135"/>
      <c r="X233" s="135"/>
      <c r="Y233" s="135"/>
      <c r="Z233" s="135"/>
      <c r="AA233" s="135"/>
      <c r="AB233" s="135"/>
      <c r="AC233" s="135"/>
      <c r="AD233" s="148" t="s">
        <v>151</v>
      </c>
      <c r="AE233" s="149"/>
      <c r="AF233" s="149"/>
      <c r="AG233" s="149"/>
      <c r="AH233" s="149"/>
      <c r="AI233" s="136"/>
    </row>
    <row r="234" spans="1:35" x14ac:dyDescent="0.3">
      <c r="A234" s="134"/>
      <c r="B234" s="135"/>
      <c r="C234" s="135"/>
      <c r="D234" s="135"/>
      <c r="E234" s="135"/>
      <c r="F234" s="135"/>
      <c r="G234" s="135"/>
      <c r="H234" s="135"/>
      <c r="I234" s="135"/>
      <c r="J234" s="135"/>
      <c r="K234" s="135"/>
      <c r="L234" s="135"/>
      <c r="M234" s="135"/>
      <c r="N234" s="135"/>
      <c r="O234" s="135"/>
      <c r="P234" s="135"/>
      <c r="Q234" s="135"/>
      <c r="R234" s="135"/>
      <c r="S234" s="135"/>
      <c r="T234" s="135"/>
      <c r="U234" s="135"/>
      <c r="V234" s="135"/>
      <c r="W234" s="135"/>
      <c r="X234" s="135"/>
      <c r="Y234" s="135"/>
      <c r="Z234" s="135"/>
      <c r="AA234" s="135"/>
      <c r="AB234" s="135"/>
      <c r="AC234" s="135"/>
      <c r="AD234" s="149"/>
      <c r="AE234" s="149"/>
      <c r="AF234" s="149"/>
      <c r="AG234" s="149"/>
      <c r="AH234" s="149"/>
      <c r="AI234" s="136"/>
    </row>
    <row r="235" spans="1:35" x14ac:dyDescent="0.3">
      <c r="A235" s="134"/>
      <c r="B235" s="135"/>
      <c r="C235" s="135"/>
      <c r="D235" s="135"/>
      <c r="E235" s="135"/>
      <c r="F235" s="135"/>
      <c r="G235" s="135"/>
      <c r="H235" s="135"/>
      <c r="I235" s="135"/>
      <c r="J235" s="135"/>
      <c r="K235" s="135"/>
      <c r="L235" s="135"/>
      <c r="M235" s="135"/>
      <c r="N235" s="135"/>
      <c r="O235" s="135"/>
      <c r="P235" s="135"/>
      <c r="Q235" s="135"/>
      <c r="R235" s="135"/>
      <c r="S235" s="135"/>
      <c r="T235" s="135"/>
      <c r="U235" s="135"/>
      <c r="V235" s="135"/>
      <c r="W235" s="135"/>
      <c r="X235" s="135"/>
      <c r="Y235" s="135"/>
      <c r="Z235" s="135"/>
      <c r="AA235" s="135"/>
      <c r="AB235" s="135"/>
      <c r="AC235" s="135"/>
      <c r="AD235" s="149"/>
      <c r="AE235" s="149"/>
      <c r="AF235" s="149"/>
      <c r="AG235" s="149"/>
      <c r="AH235" s="149"/>
      <c r="AI235" s="136"/>
    </row>
    <row r="236" spans="1:35" x14ac:dyDescent="0.3">
      <c r="A236" s="134"/>
      <c r="B236" s="135"/>
      <c r="C236" s="135"/>
      <c r="D236" s="135"/>
      <c r="E236" s="135"/>
      <c r="F236" s="135"/>
      <c r="G236" s="135"/>
      <c r="H236" s="135"/>
      <c r="I236" s="135"/>
      <c r="J236" s="135"/>
      <c r="K236" s="135"/>
      <c r="L236" s="135"/>
      <c r="M236" s="135"/>
      <c r="N236" s="135"/>
      <c r="O236" s="135"/>
      <c r="P236" s="135"/>
      <c r="Q236" s="135"/>
      <c r="R236" s="135"/>
      <c r="S236" s="135"/>
      <c r="T236" s="135"/>
      <c r="U236" s="135"/>
      <c r="V236" s="135"/>
      <c r="W236" s="135"/>
      <c r="X236" s="135"/>
      <c r="Y236" s="135"/>
      <c r="Z236" s="135"/>
      <c r="AA236" s="135"/>
      <c r="AB236" s="135"/>
      <c r="AC236" s="135"/>
      <c r="AD236" s="149"/>
      <c r="AE236" s="149"/>
      <c r="AF236" s="149"/>
      <c r="AG236" s="149"/>
      <c r="AH236" s="149"/>
      <c r="AI236" s="136"/>
    </row>
    <row r="237" spans="1:35" x14ac:dyDescent="0.3">
      <c r="A237" s="134"/>
      <c r="B237" s="135"/>
      <c r="C237" s="135"/>
      <c r="D237" s="135"/>
      <c r="E237" s="135"/>
      <c r="F237" s="135"/>
      <c r="G237" s="135"/>
      <c r="H237" s="135"/>
      <c r="I237" s="135"/>
      <c r="J237" s="135"/>
      <c r="K237" s="135"/>
      <c r="L237" s="135"/>
      <c r="M237" s="135"/>
      <c r="N237" s="135"/>
      <c r="O237" s="135"/>
      <c r="P237" s="135"/>
      <c r="Q237" s="135"/>
      <c r="R237" s="135"/>
      <c r="S237" s="135"/>
      <c r="T237" s="135"/>
      <c r="U237" s="135"/>
      <c r="V237" s="135"/>
      <c r="W237" s="135"/>
      <c r="X237" s="135"/>
      <c r="Y237" s="135"/>
      <c r="Z237" s="135"/>
      <c r="AA237" s="135"/>
      <c r="AB237" s="135"/>
      <c r="AC237" s="135"/>
      <c r="AD237" s="149"/>
      <c r="AE237" s="149"/>
      <c r="AF237" s="149"/>
      <c r="AG237" s="149"/>
      <c r="AH237" s="149"/>
      <c r="AI237" s="136"/>
    </row>
    <row r="238" spans="1:35" x14ac:dyDescent="0.3">
      <c r="A238" s="134"/>
      <c r="B238" s="135"/>
      <c r="C238" s="135"/>
      <c r="D238" s="135"/>
      <c r="E238" s="135"/>
      <c r="F238" s="135"/>
      <c r="G238" s="135"/>
      <c r="H238" s="135"/>
      <c r="I238" s="135"/>
      <c r="J238" s="135"/>
      <c r="K238" s="135"/>
      <c r="L238" s="135"/>
      <c r="M238" s="135"/>
      <c r="N238" s="135"/>
      <c r="O238" s="135"/>
      <c r="P238" s="135"/>
      <c r="Q238" s="135"/>
      <c r="R238" s="135"/>
      <c r="S238" s="135"/>
      <c r="T238" s="135"/>
      <c r="U238" s="135"/>
      <c r="V238" s="135"/>
      <c r="W238" s="135"/>
      <c r="X238" s="135"/>
      <c r="Y238" s="135"/>
      <c r="Z238" s="135"/>
      <c r="AA238" s="135"/>
      <c r="AB238" s="135"/>
      <c r="AC238" s="135"/>
      <c r="AD238" s="149"/>
      <c r="AE238" s="149"/>
      <c r="AF238" s="149"/>
      <c r="AG238" s="149"/>
      <c r="AH238" s="149"/>
      <c r="AI238" s="136"/>
    </row>
    <row r="239" spans="1:35" x14ac:dyDescent="0.3">
      <c r="A239" s="134"/>
      <c r="B239" s="135"/>
      <c r="C239" s="135"/>
      <c r="D239" s="135"/>
      <c r="E239" s="135"/>
      <c r="F239" s="135"/>
      <c r="G239" s="135"/>
      <c r="H239" s="135"/>
      <c r="I239" s="135"/>
      <c r="J239" s="135"/>
      <c r="K239" s="135"/>
      <c r="L239" s="135"/>
      <c r="M239" s="135"/>
      <c r="N239" s="135"/>
      <c r="O239" s="135"/>
      <c r="P239" s="135"/>
      <c r="Q239" s="135"/>
      <c r="R239" s="135"/>
      <c r="S239" s="135"/>
      <c r="T239" s="135"/>
      <c r="U239" s="135"/>
      <c r="V239" s="135"/>
      <c r="W239" s="135"/>
      <c r="X239" s="135"/>
      <c r="Y239" s="135"/>
      <c r="Z239" s="135"/>
      <c r="AA239" s="135"/>
      <c r="AB239" s="135"/>
      <c r="AC239" s="135"/>
      <c r="AD239" s="149"/>
      <c r="AE239" s="149"/>
      <c r="AF239" s="149"/>
      <c r="AG239" s="149"/>
      <c r="AH239" s="149"/>
      <c r="AI239" s="136"/>
    </row>
    <row r="240" spans="1:35" x14ac:dyDescent="0.3">
      <c r="A240" s="134"/>
      <c r="B240" s="135"/>
      <c r="C240" s="135"/>
      <c r="D240" s="135"/>
      <c r="E240" s="135"/>
      <c r="F240" s="135"/>
      <c r="G240" s="135"/>
      <c r="H240" s="135"/>
      <c r="I240" s="135"/>
      <c r="J240" s="135"/>
      <c r="K240" s="135"/>
      <c r="L240" s="135"/>
      <c r="M240" s="135"/>
      <c r="N240" s="135"/>
      <c r="O240" s="135"/>
      <c r="P240" s="135"/>
      <c r="Q240" s="135"/>
      <c r="R240" s="135"/>
      <c r="S240" s="135"/>
      <c r="T240" s="135"/>
      <c r="U240" s="135"/>
      <c r="V240" s="135"/>
      <c r="W240" s="135"/>
      <c r="X240" s="135"/>
      <c r="Y240" s="135"/>
      <c r="Z240" s="135"/>
      <c r="AA240" s="135"/>
      <c r="AB240" s="135"/>
      <c r="AC240" s="135"/>
      <c r="AD240" s="135"/>
      <c r="AE240" s="135"/>
      <c r="AF240" s="135"/>
      <c r="AG240" s="135"/>
      <c r="AH240" s="135"/>
      <c r="AI240" s="136"/>
    </row>
    <row r="241" spans="1:35" x14ac:dyDescent="0.3">
      <c r="A241" s="134"/>
      <c r="B241" s="135"/>
      <c r="C241" s="135"/>
      <c r="D241" s="135"/>
      <c r="E241" s="135"/>
      <c r="F241" s="135"/>
      <c r="G241" s="135"/>
      <c r="H241" s="135"/>
      <c r="I241" s="135"/>
      <c r="J241" s="135"/>
      <c r="K241" s="135"/>
      <c r="L241" s="135"/>
      <c r="M241" s="135"/>
      <c r="N241" s="135"/>
      <c r="O241" s="135"/>
      <c r="P241" s="135"/>
      <c r="Q241" s="135"/>
      <c r="R241" s="135"/>
      <c r="S241" s="135"/>
      <c r="T241" s="135"/>
      <c r="U241" s="135"/>
      <c r="V241" s="135"/>
      <c r="W241" s="135"/>
      <c r="X241" s="135"/>
      <c r="Y241" s="135"/>
      <c r="Z241" s="135"/>
      <c r="AA241" s="135"/>
      <c r="AB241" s="135"/>
      <c r="AC241" s="135"/>
      <c r="AD241" s="135"/>
      <c r="AE241" s="135"/>
      <c r="AF241" s="135"/>
      <c r="AG241" s="135"/>
      <c r="AH241" s="135"/>
      <c r="AI241" s="136"/>
    </row>
    <row r="242" spans="1:35" x14ac:dyDescent="0.3">
      <c r="A242" s="134"/>
      <c r="B242" s="135"/>
      <c r="C242" s="135"/>
      <c r="D242" s="135"/>
      <c r="E242" s="135"/>
      <c r="F242" s="135"/>
      <c r="G242" s="135"/>
      <c r="H242" s="135"/>
      <c r="I242" s="135"/>
      <c r="J242" s="135"/>
      <c r="K242" s="135"/>
      <c r="L242" s="135"/>
      <c r="M242" s="135"/>
      <c r="N242" s="135"/>
      <c r="O242" s="135"/>
      <c r="P242" s="135"/>
      <c r="Q242" s="135"/>
      <c r="R242" s="135"/>
      <c r="S242" s="135"/>
      <c r="T242" s="135"/>
      <c r="U242" s="135"/>
      <c r="V242" s="135"/>
      <c r="W242" s="135"/>
      <c r="X242" s="135"/>
      <c r="Y242" s="135"/>
      <c r="Z242" s="135"/>
      <c r="AA242" s="135"/>
      <c r="AB242" s="135"/>
      <c r="AC242" s="135"/>
      <c r="AD242" s="135"/>
      <c r="AE242" s="135"/>
      <c r="AF242" s="135"/>
      <c r="AG242" s="135"/>
      <c r="AH242" s="135"/>
      <c r="AI242" s="136"/>
    </row>
    <row r="243" spans="1:35" x14ac:dyDescent="0.3">
      <c r="A243" s="134"/>
      <c r="B243" s="135"/>
      <c r="C243" s="135"/>
      <c r="D243" s="135"/>
      <c r="E243" s="135"/>
      <c r="F243" s="135"/>
      <c r="G243" s="135"/>
      <c r="H243" s="135"/>
      <c r="I243" s="135"/>
      <c r="J243" s="135"/>
      <c r="K243" s="135"/>
      <c r="L243" s="135"/>
      <c r="M243" s="135"/>
      <c r="N243" s="135"/>
      <c r="O243" s="135"/>
      <c r="P243" s="135"/>
      <c r="Q243" s="135"/>
      <c r="R243" s="135"/>
      <c r="S243" s="135"/>
      <c r="T243" s="135"/>
      <c r="U243" s="135"/>
      <c r="V243" s="135"/>
      <c r="W243" s="135"/>
      <c r="X243" s="135"/>
      <c r="Y243" s="135"/>
      <c r="Z243" s="135"/>
      <c r="AA243" s="135"/>
      <c r="AB243" s="135"/>
      <c r="AC243" s="135"/>
      <c r="AD243" s="135"/>
      <c r="AE243" s="135"/>
      <c r="AF243" s="135"/>
      <c r="AG243" s="135"/>
      <c r="AH243" s="135"/>
      <c r="AI243" s="136"/>
    </row>
    <row r="244" spans="1:35" x14ac:dyDescent="0.3">
      <c r="A244" s="134"/>
      <c r="B244" s="135"/>
      <c r="C244" s="135"/>
      <c r="D244" s="135"/>
      <c r="E244" s="135"/>
      <c r="F244" s="135"/>
      <c r="G244" s="135"/>
      <c r="H244" s="135"/>
      <c r="I244" s="135"/>
      <c r="J244" s="135"/>
      <c r="K244" s="135"/>
      <c r="L244" s="135"/>
      <c r="M244" s="135"/>
      <c r="N244" s="135"/>
      <c r="O244" s="135"/>
      <c r="P244" s="135"/>
      <c r="Q244" s="135"/>
      <c r="R244" s="135"/>
      <c r="S244" s="135"/>
      <c r="T244" s="135"/>
      <c r="U244" s="135"/>
      <c r="V244" s="135"/>
      <c r="W244" s="135"/>
      <c r="X244" s="135"/>
      <c r="Y244" s="135"/>
      <c r="Z244" s="135"/>
      <c r="AA244" s="135"/>
      <c r="AB244" s="135"/>
      <c r="AC244" s="135"/>
      <c r="AD244" s="135"/>
      <c r="AE244" s="135"/>
      <c r="AF244" s="135"/>
      <c r="AG244" s="135"/>
      <c r="AH244" s="135"/>
      <c r="AI244" s="136"/>
    </row>
    <row r="245" spans="1:35" x14ac:dyDescent="0.3">
      <c r="A245" s="134"/>
      <c r="B245" s="135"/>
      <c r="C245" s="135"/>
      <c r="D245" s="135"/>
      <c r="E245" s="135"/>
      <c r="F245" s="135"/>
      <c r="G245" s="135"/>
      <c r="H245" s="135"/>
      <c r="I245" s="135"/>
      <c r="J245" s="135"/>
      <c r="K245" s="135"/>
      <c r="L245" s="135"/>
      <c r="M245" s="135"/>
      <c r="N245" s="135"/>
      <c r="O245" s="135"/>
      <c r="P245" s="135"/>
      <c r="Q245" s="135"/>
      <c r="R245" s="135"/>
      <c r="S245" s="135"/>
      <c r="T245" s="135"/>
      <c r="U245" s="135"/>
      <c r="V245" s="135"/>
      <c r="W245" s="135"/>
      <c r="X245" s="135"/>
      <c r="Y245" s="135"/>
      <c r="Z245" s="135"/>
      <c r="AA245" s="135"/>
      <c r="AB245" s="135"/>
      <c r="AC245" s="135"/>
      <c r="AD245" s="135"/>
      <c r="AE245" s="135"/>
      <c r="AF245" s="135"/>
      <c r="AG245" s="135"/>
      <c r="AH245" s="135"/>
      <c r="AI245" s="136"/>
    </row>
    <row r="246" spans="1:35" ht="16.2" thickBot="1" x14ac:dyDescent="0.35">
      <c r="A246" s="137"/>
      <c r="B246" s="138"/>
      <c r="C246" s="138"/>
      <c r="D246" s="138"/>
      <c r="E246" s="138"/>
      <c r="F246" s="138"/>
      <c r="G246" s="138"/>
      <c r="H246" s="138"/>
      <c r="I246" s="138"/>
      <c r="J246" s="138"/>
      <c r="K246" s="138"/>
      <c r="L246" s="138"/>
      <c r="M246" s="138"/>
      <c r="N246" s="138"/>
      <c r="O246" s="138"/>
      <c r="P246" s="138"/>
      <c r="Q246" s="138"/>
      <c r="R246" s="138"/>
      <c r="S246" s="138"/>
      <c r="T246" s="138"/>
      <c r="U246" s="138"/>
      <c r="V246" s="138"/>
      <c r="W246" s="138"/>
      <c r="X246" s="138"/>
      <c r="Y246" s="138"/>
      <c r="Z246" s="138"/>
      <c r="AA246" s="138"/>
      <c r="AB246" s="138"/>
      <c r="AC246" s="138"/>
      <c r="AD246" s="138"/>
      <c r="AE246" s="138"/>
      <c r="AF246" s="138"/>
      <c r="AG246" s="138"/>
      <c r="AH246" s="138"/>
      <c r="AI246" s="139"/>
    </row>
    <row r="247" spans="1:35" x14ac:dyDescent="0.3">
      <c r="A247" s="131"/>
      <c r="B247" s="132"/>
      <c r="C247" s="132"/>
      <c r="D247" s="132"/>
      <c r="E247" s="132"/>
      <c r="F247" s="132"/>
      <c r="G247" s="132"/>
      <c r="H247" s="132"/>
      <c r="I247" s="132"/>
      <c r="J247" s="132"/>
      <c r="K247" s="132"/>
      <c r="L247" s="132"/>
      <c r="M247" s="132"/>
      <c r="N247" s="132"/>
      <c r="O247" s="132"/>
      <c r="P247" s="132"/>
      <c r="Q247" s="132"/>
      <c r="R247" s="132"/>
      <c r="S247" s="132"/>
      <c r="T247" s="132"/>
      <c r="U247" s="132"/>
      <c r="V247" s="132"/>
      <c r="W247" s="132"/>
      <c r="X247" s="132"/>
      <c r="Y247" s="132"/>
      <c r="Z247" s="132"/>
      <c r="AA247" s="132"/>
      <c r="AB247" s="132"/>
      <c r="AC247" s="132"/>
      <c r="AD247" s="132"/>
      <c r="AE247" s="132"/>
      <c r="AF247" s="132"/>
      <c r="AG247" s="132"/>
      <c r="AH247" s="132"/>
      <c r="AI247" s="133"/>
    </row>
    <row r="248" spans="1:35" x14ac:dyDescent="0.3">
      <c r="A248" s="134"/>
      <c r="B248" s="135"/>
      <c r="C248" s="135"/>
      <c r="D248" s="135"/>
      <c r="E248" s="135"/>
      <c r="F248" s="135"/>
      <c r="G248" s="135"/>
      <c r="H248" s="135"/>
      <c r="I248" s="135"/>
      <c r="J248" s="135"/>
      <c r="K248" s="135"/>
      <c r="L248" s="135"/>
      <c r="M248" s="135"/>
      <c r="N248" s="135"/>
      <c r="O248" s="135"/>
      <c r="P248" s="135"/>
      <c r="Q248" s="135"/>
      <c r="R248" s="135"/>
      <c r="S248" s="135"/>
      <c r="T248" s="135"/>
      <c r="U248" s="135"/>
      <c r="V248" s="135"/>
      <c r="W248" s="135"/>
      <c r="X248" s="135"/>
      <c r="Y248" s="135"/>
      <c r="Z248" s="135"/>
      <c r="AA248" s="135"/>
      <c r="AB248" s="135"/>
      <c r="AC248" s="135"/>
      <c r="AD248" s="135"/>
      <c r="AE248" s="135"/>
      <c r="AF248" s="135"/>
      <c r="AG248" s="135"/>
      <c r="AH248" s="135"/>
      <c r="AI248" s="136"/>
    </row>
    <row r="249" spans="1:35" x14ac:dyDescent="0.3">
      <c r="A249" s="134"/>
      <c r="B249" s="135"/>
      <c r="C249" s="135"/>
      <c r="D249" s="135"/>
      <c r="E249" s="135"/>
      <c r="F249" s="135"/>
      <c r="G249" s="135"/>
      <c r="H249" s="135"/>
      <c r="I249" s="135"/>
      <c r="J249" s="135"/>
      <c r="K249" s="135"/>
      <c r="L249" s="135"/>
      <c r="M249" s="135"/>
      <c r="N249" s="135"/>
      <c r="O249" s="135"/>
      <c r="P249" s="135"/>
      <c r="Q249" s="135"/>
      <c r="R249" s="135"/>
      <c r="S249" s="135"/>
      <c r="T249" s="135"/>
      <c r="U249" s="135"/>
      <c r="V249" s="135"/>
      <c r="W249" s="135"/>
      <c r="X249" s="135"/>
      <c r="Y249" s="135"/>
      <c r="Z249" s="135"/>
      <c r="AA249" s="135"/>
      <c r="AB249" s="135"/>
      <c r="AC249" s="135"/>
      <c r="AD249" s="135"/>
      <c r="AE249" s="135"/>
      <c r="AF249" s="135"/>
      <c r="AG249" s="135"/>
      <c r="AH249" s="135"/>
      <c r="AI249" s="136"/>
    </row>
    <row r="250" spans="1:35" x14ac:dyDescent="0.3">
      <c r="A250" s="134"/>
      <c r="B250" s="135"/>
      <c r="C250" s="135"/>
      <c r="D250" s="135"/>
      <c r="E250" s="135"/>
      <c r="F250" s="135"/>
      <c r="G250" s="135"/>
      <c r="H250" s="135"/>
      <c r="I250" s="135"/>
      <c r="J250" s="135"/>
      <c r="K250" s="135"/>
      <c r="L250" s="135"/>
      <c r="M250" s="135"/>
      <c r="N250" s="135"/>
      <c r="O250" s="135"/>
      <c r="P250" s="135"/>
      <c r="Q250" s="135"/>
      <c r="R250" s="135"/>
      <c r="S250" s="135"/>
      <c r="T250" s="135"/>
      <c r="U250" s="135"/>
      <c r="V250" s="135"/>
      <c r="W250" s="135"/>
      <c r="X250" s="135"/>
      <c r="Y250" s="135"/>
      <c r="Z250" s="135"/>
      <c r="AA250" s="135"/>
      <c r="AB250" s="135"/>
      <c r="AC250" s="135"/>
      <c r="AD250" s="148" t="s">
        <v>152</v>
      </c>
      <c r="AE250" s="149"/>
      <c r="AF250" s="149"/>
      <c r="AG250" s="149"/>
      <c r="AH250" s="149"/>
      <c r="AI250" s="136"/>
    </row>
    <row r="251" spans="1:35" x14ac:dyDescent="0.3">
      <c r="A251" s="134"/>
      <c r="B251" s="135"/>
      <c r="C251" s="135"/>
      <c r="D251" s="135"/>
      <c r="E251" s="135"/>
      <c r="F251" s="135"/>
      <c r="G251" s="135"/>
      <c r="H251" s="135"/>
      <c r="I251" s="135"/>
      <c r="J251" s="135"/>
      <c r="K251" s="135"/>
      <c r="L251" s="135"/>
      <c r="M251" s="135"/>
      <c r="N251" s="135"/>
      <c r="O251" s="135"/>
      <c r="P251" s="135"/>
      <c r="Q251" s="135"/>
      <c r="R251" s="135"/>
      <c r="S251" s="135"/>
      <c r="T251" s="135"/>
      <c r="U251" s="135"/>
      <c r="V251" s="135"/>
      <c r="W251" s="135"/>
      <c r="X251" s="135"/>
      <c r="Y251" s="135"/>
      <c r="Z251" s="135"/>
      <c r="AA251" s="135"/>
      <c r="AB251" s="135"/>
      <c r="AC251" s="135"/>
      <c r="AD251" s="149"/>
      <c r="AE251" s="149"/>
      <c r="AF251" s="149"/>
      <c r="AG251" s="149"/>
      <c r="AH251" s="149"/>
      <c r="AI251" s="136"/>
    </row>
    <row r="252" spans="1:35" x14ac:dyDescent="0.3">
      <c r="A252" s="134"/>
      <c r="B252" s="135"/>
      <c r="C252" s="135"/>
      <c r="D252" s="135"/>
      <c r="E252" s="135"/>
      <c r="F252" s="135"/>
      <c r="G252" s="135"/>
      <c r="H252" s="135"/>
      <c r="I252" s="135"/>
      <c r="J252" s="135"/>
      <c r="K252" s="135"/>
      <c r="L252" s="135"/>
      <c r="M252" s="135"/>
      <c r="N252" s="135"/>
      <c r="O252" s="135"/>
      <c r="P252" s="135"/>
      <c r="Q252" s="135"/>
      <c r="R252" s="135"/>
      <c r="S252" s="135"/>
      <c r="T252" s="135"/>
      <c r="U252" s="135"/>
      <c r="V252" s="135"/>
      <c r="W252" s="135"/>
      <c r="X252" s="135"/>
      <c r="Y252" s="135"/>
      <c r="Z252" s="135"/>
      <c r="AA252" s="135"/>
      <c r="AB252" s="135"/>
      <c r="AC252" s="135"/>
      <c r="AD252" s="149"/>
      <c r="AE252" s="149"/>
      <c r="AF252" s="149"/>
      <c r="AG252" s="149"/>
      <c r="AH252" s="149"/>
      <c r="AI252" s="136"/>
    </row>
    <row r="253" spans="1:35" x14ac:dyDescent="0.3">
      <c r="A253" s="134"/>
      <c r="B253" s="135"/>
      <c r="C253" s="135"/>
      <c r="D253" s="135"/>
      <c r="E253" s="135"/>
      <c r="F253" s="135"/>
      <c r="G253" s="135"/>
      <c r="H253" s="135"/>
      <c r="I253" s="135"/>
      <c r="J253" s="135"/>
      <c r="K253" s="135"/>
      <c r="L253" s="135"/>
      <c r="M253" s="135"/>
      <c r="N253" s="135"/>
      <c r="O253" s="135"/>
      <c r="P253" s="135"/>
      <c r="Q253" s="135"/>
      <c r="R253" s="135"/>
      <c r="S253" s="135"/>
      <c r="T253" s="135"/>
      <c r="U253" s="135"/>
      <c r="V253" s="135"/>
      <c r="W253" s="135"/>
      <c r="X253" s="135"/>
      <c r="Y253" s="135"/>
      <c r="Z253" s="135"/>
      <c r="AA253" s="135"/>
      <c r="AB253" s="135"/>
      <c r="AC253" s="135"/>
      <c r="AD253" s="149"/>
      <c r="AE253" s="149"/>
      <c r="AF253" s="149"/>
      <c r="AG253" s="149"/>
      <c r="AH253" s="149"/>
      <c r="AI253" s="136"/>
    </row>
    <row r="254" spans="1:35" x14ac:dyDescent="0.3">
      <c r="A254" s="134"/>
      <c r="B254" s="135"/>
      <c r="C254" s="135"/>
      <c r="D254" s="135"/>
      <c r="E254" s="135"/>
      <c r="F254" s="135"/>
      <c r="G254" s="135"/>
      <c r="H254" s="135"/>
      <c r="I254" s="135"/>
      <c r="J254" s="135"/>
      <c r="K254" s="135"/>
      <c r="L254" s="135"/>
      <c r="M254" s="135"/>
      <c r="N254" s="135"/>
      <c r="O254" s="135"/>
      <c r="P254" s="135"/>
      <c r="Q254" s="135"/>
      <c r="R254" s="135"/>
      <c r="S254" s="135"/>
      <c r="T254" s="135"/>
      <c r="U254" s="135"/>
      <c r="V254" s="135"/>
      <c r="W254" s="135"/>
      <c r="X254" s="135"/>
      <c r="Y254" s="135"/>
      <c r="Z254" s="135"/>
      <c r="AA254" s="135"/>
      <c r="AB254" s="135"/>
      <c r="AC254" s="135"/>
      <c r="AD254" s="149"/>
      <c r="AE254" s="149"/>
      <c r="AF254" s="149"/>
      <c r="AG254" s="149"/>
      <c r="AH254" s="149"/>
      <c r="AI254" s="136"/>
    </row>
    <row r="255" spans="1:35" x14ac:dyDescent="0.3">
      <c r="A255" s="134"/>
      <c r="B255" s="135"/>
      <c r="C255" s="135"/>
      <c r="D255" s="135"/>
      <c r="E255" s="135"/>
      <c r="F255" s="135"/>
      <c r="G255" s="135"/>
      <c r="H255" s="135"/>
      <c r="I255" s="135"/>
      <c r="J255" s="135"/>
      <c r="K255" s="135"/>
      <c r="L255" s="135"/>
      <c r="M255" s="135"/>
      <c r="N255" s="135"/>
      <c r="O255" s="135"/>
      <c r="P255" s="135"/>
      <c r="Q255" s="135"/>
      <c r="R255" s="135"/>
      <c r="S255" s="135"/>
      <c r="T255" s="135"/>
      <c r="U255" s="135"/>
      <c r="V255" s="135"/>
      <c r="W255" s="135"/>
      <c r="X255" s="135"/>
      <c r="Y255" s="135"/>
      <c r="Z255" s="135"/>
      <c r="AA255" s="135"/>
      <c r="AB255" s="135"/>
      <c r="AC255" s="135"/>
      <c r="AD255" s="149"/>
      <c r="AE255" s="149"/>
      <c r="AF255" s="149"/>
      <c r="AG255" s="149"/>
      <c r="AH255" s="149"/>
      <c r="AI255" s="136"/>
    </row>
    <row r="256" spans="1:35" x14ac:dyDescent="0.3">
      <c r="A256" s="134"/>
      <c r="B256" s="135"/>
      <c r="C256" s="135"/>
      <c r="D256" s="135"/>
      <c r="E256" s="135"/>
      <c r="F256" s="135"/>
      <c r="G256" s="135"/>
      <c r="H256" s="135"/>
      <c r="I256" s="135"/>
      <c r="J256" s="135"/>
      <c r="K256" s="135"/>
      <c r="L256" s="135"/>
      <c r="M256" s="135"/>
      <c r="N256" s="135"/>
      <c r="O256" s="135"/>
      <c r="P256" s="135"/>
      <c r="Q256" s="135"/>
      <c r="R256" s="135"/>
      <c r="S256" s="135"/>
      <c r="T256" s="135"/>
      <c r="U256" s="135"/>
      <c r="V256" s="135"/>
      <c r="W256" s="135"/>
      <c r="X256" s="135"/>
      <c r="Y256" s="135"/>
      <c r="Z256" s="135"/>
      <c r="AA256" s="135"/>
      <c r="AB256" s="135"/>
      <c r="AC256" s="135"/>
      <c r="AD256" s="149"/>
      <c r="AE256" s="149"/>
      <c r="AF256" s="149"/>
      <c r="AG256" s="149"/>
      <c r="AH256" s="149"/>
      <c r="AI256" s="136"/>
    </row>
    <row r="257" spans="1:35" x14ac:dyDescent="0.3">
      <c r="A257" s="134"/>
      <c r="B257" s="135"/>
      <c r="C257" s="135"/>
      <c r="D257" s="135"/>
      <c r="E257" s="135"/>
      <c r="F257" s="135"/>
      <c r="G257" s="135"/>
      <c r="H257" s="135"/>
      <c r="I257" s="135"/>
      <c r="J257" s="135"/>
      <c r="K257" s="135"/>
      <c r="L257" s="135"/>
      <c r="M257" s="135"/>
      <c r="N257" s="135"/>
      <c r="O257" s="135"/>
      <c r="P257" s="135"/>
      <c r="Q257" s="135"/>
      <c r="R257" s="135"/>
      <c r="S257" s="135"/>
      <c r="T257" s="135"/>
      <c r="U257" s="135"/>
      <c r="V257" s="135"/>
      <c r="W257" s="135"/>
      <c r="X257" s="135"/>
      <c r="Y257" s="135"/>
      <c r="Z257" s="135"/>
      <c r="AA257" s="135"/>
      <c r="AB257" s="135"/>
      <c r="AC257" s="135"/>
      <c r="AD257" s="135"/>
      <c r="AE257" s="135"/>
      <c r="AF257" s="135"/>
      <c r="AG257" s="135"/>
      <c r="AH257" s="135"/>
      <c r="AI257" s="136"/>
    </row>
    <row r="258" spans="1:35" x14ac:dyDescent="0.3">
      <c r="A258" s="134"/>
      <c r="B258" s="135"/>
      <c r="C258" s="135"/>
      <c r="D258" s="135"/>
      <c r="E258" s="135"/>
      <c r="F258" s="135"/>
      <c r="G258" s="135"/>
      <c r="H258" s="135"/>
      <c r="I258" s="135"/>
      <c r="J258" s="135"/>
      <c r="K258" s="135"/>
      <c r="L258" s="135"/>
      <c r="M258" s="135"/>
      <c r="N258" s="135"/>
      <c r="O258" s="135"/>
      <c r="P258" s="135"/>
      <c r="Q258" s="135"/>
      <c r="R258" s="135"/>
      <c r="S258" s="135"/>
      <c r="T258" s="135"/>
      <c r="U258" s="135"/>
      <c r="V258" s="135"/>
      <c r="W258" s="135"/>
      <c r="X258" s="135"/>
      <c r="Y258" s="135"/>
      <c r="Z258" s="135"/>
      <c r="AA258" s="135"/>
      <c r="AB258" s="135"/>
      <c r="AC258" s="135"/>
      <c r="AD258" s="135"/>
      <c r="AE258" s="135"/>
      <c r="AF258" s="135"/>
      <c r="AG258" s="135"/>
      <c r="AH258" s="135"/>
      <c r="AI258" s="136"/>
    </row>
    <row r="259" spans="1:35" x14ac:dyDescent="0.3">
      <c r="A259" s="134"/>
      <c r="B259" s="135"/>
      <c r="C259" s="135"/>
      <c r="D259" s="135"/>
      <c r="E259" s="135"/>
      <c r="F259" s="135"/>
      <c r="G259" s="135"/>
      <c r="H259" s="135"/>
      <c r="I259" s="135"/>
      <c r="J259" s="135"/>
      <c r="K259" s="135"/>
      <c r="L259" s="135"/>
      <c r="M259" s="135"/>
      <c r="N259" s="135"/>
      <c r="O259" s="135"/>
      <c r="P259" s="135"/>
      <c r="Q259" s="135"/>
      <c r="R259" s="135"/>
      <c r="S259" s="135"/>
      <c r="T259" s="135"/>
      <c r="U259" s="135"/>
      <c r="V259" s="135"/>
      <c r="W259" s="135"/>
      <c r="X259" s="135"/>
      <c r="Y259" s="135"/>
      <c r="Z259" s="135"/>
      <c r="AA259" s="135"/>
      <c r="AB259" s="135"/>
      <c r="AC259" s="135"/>
      <c r="AD259" s="135"/>
      <c r="AE259" s="135"/>
      <c r="AF259" s="135"/>
      <c r="AG259" s="135"/>
      <c r="AH259" s="135"/>
      <c r="AI259" s="136"/>
    </row>
    <row r="260" spans="1:35" x14ac:dyDescent="0.3">
      <c r="A260" s="134"/>
      <c r="B260" s="135"/>
      <c r="C260" s="135"/>
      <c r="D260" s="135"/>
      <c r="E260" s="135"/>
      <c r="F260" s="135"/>
      <c r="G260" s="135"/>
      <c r="H260" s="135"/>
      <c r="I260" s="135"/>
      <c r="J260" s="135"/>
      <c r="K260" s="135"/>
      <c r="L260" s="135"/>
      <c r="M260" s="135"/>
      <c r="N260" s="135"/>
      <c r="O260" s="135"/>
      <c r="P260" s="135"/>
      <c r="Q260" s="135"/>
      <c r="R260" s="135"/>
      <c r="S260" s="135"/>
      <c r="T260" s="135"/>
      <c r="U260" s="135"/>
      <c r="V260" s="135"/>
      <c r="W260" s="135"/>
      <c r="X260" s="135"/>
      <c r="Y260" s="135"/>
      <c r="Z260" s="135"/>
      <c r="AA260" s="135"/>
      <c r="AB260" s="135"/>
      <c r="AC260" s="135"/>
      <c r="AD260" s="135"/>
      <c r="AE260" s="135"/>
      <c r="AF260" s="135"/>
      <c r="AG260" s="135"/>
      <c r="AH260" s="135"/>
      <c r="AI260" s="136"/>
    </row>
    <row r="261" spans="1:35" x14ac:dyDescent="0.3">
      <c r="A261" s="134"/>
      <c r="B261" s="135"/>
      <c r="C261" s="135"/>
      <c r="D261" s="135"/>
      <c r="E261" s="135"/>
      <c r="F261" s="135"/>
      <c r="G261" s="135"/>
      <c r="H261" s="135"/>
      <c r="I261" s="135"/>
      <c r="J261" s="135"/>
      <c r="K261" s="135"/>
      <c r="L261" s="135"/>
      <c r="M261" s="135"/>
      <c r="N261" s="135"/>
      <c r="O261" s="135"/>
      <c r="P261" s="135"/>
      <c r="Q261" s="135"/>
      <c r="R261" s="135"/>
      <c r="S261" s="135"/>
      <c r="T261" s="135"/>
      <c r="U261" s="135"/>
      <c r="V261" s="135"/>
      <c r="W261" s="135"/>
      <c r="X261" s="135"/>
      <c r="Y261" s="135"/>
      <c r="Z261" s="135"/>
      <c r="AA261" s="135"/>
      <c r="AB261" s="135"/>
      <c r="AC261" s="135"/>
      <c r="AD261" s="135"/>
      <c r="AE261" s="135"/>
      <c r="AF261" s="135"/>
      <c r="AG261" s="135"/>
      <c r="AH261" s="135"/>
      <c r="AI261" s="136"/>
    </row>
    <row r="262" spans="1:35" x14ac:dyDescent="0.3">
      <c r="A262" s="134"/>
      <c r="B262" s="135"/>
      <c r="C262" s="135"/>
      <c r="D262" s="135"/>
      <c r="E262" s="135"/>
      <c r="F262" s="135"/>
      <c r="G262" s="135"/>
      <c r="H262" s="135"/>
      <c r="I262" s="135"/>
      <c r="J262" s="135"/>
      <c r="K262" s="135"/>
      <c r="L262" s="135"/>
      <c r="M262" s="135"/>
      <c r="N262" s="135"/>
      <c r="O262" s="135"/>
      <c r="P262" s="135"/>
      <c r="Q262" s="135"/>
      <c r="R262" s="135"/>
      <c r="S262" s="135"/>
      <c r="T262" s="135"/>
      <c r="U262" s="135"/>
      <c r="V262" s="135"/>
      <c r="W262" s="135"/>
      <c r="X262" s="135"/>
      <c r="Y262" s="135"/>
      <c r="Z262" s="135"/>
      <c r="AA262" s="135"/>
      <c r="AB262" s="135"/>
      <c r="AC262" s="135"/>
      <c r="AD262" s="135"/>
      <c r="AE262" s="135"/>
      <c r="AF262" s="135"/>
      <c r="AG262" s="135"/>
      <c r="AH262" s="135"/>
      <c r="AI262" s="136"/>
    </row>
    <row r="263" spans="1:35" ht="16.2" thickBot="1" x14ac:dyDescent="0.35">
      <c r="A263" s="137"/>
      <c r="B263" s="138"/>
      <c r="C263" s="138"/>
      <c r="D263" s="138"/>
      <c r="E263" s="138"/>
      <c r="F263" s="138"/>
      <c r="G263" s="138"/>
      <c r="H263" s="138"/>
      <c r="I263" s="138"/>
      <c r="J263" s="138"/>
      <c r="K263" s="138"/>
      <c r="L263" s="138"/>
      <c r="M263" s="138"/>
      <c r="N263" s="138"/>
      <c r="O263" s="138"/>
      <c r="P263" s="138"/>
      <c r="Q263" s="138"/>
      <c r="R263" s="138"/>
      <c r="S263" s="138"/>
      <c r="T263" s="138"/>
      <c r="U263" s="138"/>
      <c r="V263" s="138"/>
      <c r="W263" s="138"/>
      <c r="X263" s="138"/>
      <c r="Y263" s="138"/>
      <c r="Z263" s="138"/>
      <c r="AA263" s="138"/>
      <c r="AB263" s="138"/>
      <c r="AC263" s="138"/>
      <c r="AD263" s="138"/>
      <c r="AE263" s="138"/>
      <c r="AF263" s="138"/>
      <c r="AG263" s="138"/>
      <c r="AH263" s="138"/>
      <c r="AI263" s="139"/>
    </row>
    <row r="264" spans="1:35" x14ac:dyDescent="0.3">
      <c r="A264" s="131"/>
      <c r="B264" s="132"/>
      <c r="C264" s="132"/>
      <c r="D264" s="132"/>
      <c r="E264" s="132"/>
      <c r="F264" s="132"/>
      <c r="G264" s="132"/>
      <c r="H264" s="132"/>
      <c r="I264" s="132"/>
      <c r="J264" s="132"/>
      <c r="K264" s="132"/>
      <c r="L264" s="132"/>
      <c r="M264" s="132"/>
      <c r="N264" s="132"/>
      <c r="O264" s="132"/>
      <c r="P264" s="132"/>
      <c r="Q264" s="132"/>
      <c r="R264" s="132"/>
      <c r="S264" s="132"/>
      <c r="T264" s="132"/>
      <c r="U264" s="132"/>
      <c r="V264" s="132"/>
      <c r="W264" s="132"/>
      <c r="X264" s="132"/>
      <c r="Y264" s="132"/>
      <c r="Z264" s="132"/>
      <c r="AA264" s="132"/>
      <c r="AB264" s="132"/>
      <c r="AC264" s="132"/>
      <c r="AD264" s="132"/>
      <c r="AE264" s="132"/>
      <c r="AF264" s="132"/>
      <c r="AG264" s="132"/>
      <c r="AH264" s="132"/>
      <c r="AI264" s="133"/>
    </row>
    <row r="265" spans="1:35" x14ac:dyDescent="0.3">
      <c r="A265" s="134"/>
      <c r="B265" s="135"/>
      <c r="C265" s="135"/>
      <c r="D265" s="135"/>
      <c r="E265" s="135"/>
      <c r="F265" s="135"/>
      <c r="G265" s="135"/>
      <c r="H265" s="135"/>
      <c r="I265" s="135"/>
      <c r="J265" s="135"/>
      <c r="K265" s="135"/>
      <c r="L265" s="135"/>
      <c r="M265" s="135"/>
      <c r="N265" s="135"/>
      <c r="O265" s="135"/>
      <c r="P265" s="135"/>
      <c r="Q265" s="135"/>
      <c r="R265" s="135"/>
      <c r="S265" s="135"/>
      <c r="T265" s="135"/>
      <c r="U265" s="135"/>
      <c r="V265" s="135"/>
      <c r="W265" s="135"/>
      <c r="X265" s="135"/>
      <c r="Y265" s="135"/>
      <c r="Z265" s="135"/>
      <c r="AA265" s="135"/>
      <c r="AB265" s="135"/>
      <c r="AC265" s="135"/>
      <c r="AD265" s="135"/>
      <c r="AE265" s="135"/>
      <c r="AF265" s="135"/>
      <c r="AG265" s="135"/>
      <c r="AH265" s="135"/>
      <c r="AI265" s="136"/>
    </row>
    <row r="266" spans="1:35" x14ac:dyDescent="0.3">
      <c r="A266" s="134"/>
      <c r="B266" s="135"/>
      <c r="C266" s="135"/>
      <c r="D266" s="135"/>
      <c r="E266" s="135"/>
      <c r="F266" s="135"/>
      <c r="G266" s="135"/>
      <c r="H266" s="135"/>
      <c r="I266" s="135"/>
      <c r="J266" s="135"/>
      <c r="K266" s="135"/>
      <c r="L266" s="135"/>
      <c r="M266" s="135"/>
      <c r="N266" s="135"/>
      <c r="O266" s="135"/>
      <c r="P266" s="135"/>
      <c r="Q266" s="135"/>
      <c r="R266" s="135"/>
      <c r="S266" s="135"/>
      <c r="T266" s="135"/>
      <c r="U266" s="135"/>
      <c r="V266" s="135"/>
      <c r="W266" s="135"/>
      <c r="X266" s="135"/>
      <c r="Y266" s="135"/>
      <c r="Z266" s="135"/>
      <c r="AA266" s="135"/>
      <c r="AB266" s="135"/>
      <c r="AC266" s="135"/>
      <c r="AD266" s="135"/>
      <c r="AE266" s="135"/>
      <c r="AF266" s="135"/>
      <c r="AG266" s="135"/>
      <c r="AH266" s="135"/>
      <c r="AI266" s="136"/>
    </row>
    <row r="267" spans="1:35" x14ac:dyDescent="0.3">
      <c r="A267" s="134"/>
      <c r="B267" s="135"/>
      <c r="C267" s="135"/>
      <c r="D267" s="135"/>
      <c r="E267" s="135"/>
      <c r="F267" s="135"/>
      <c r="G267" s="135"/>
      <c r="H267" s="135"/>
      <c r="I267" s="135"/>
      <c r="J267" s="135"/>
      <c r="K267" s="135"/>
      <c r="L267" s="135"/>
      <c r="M267" s="135"/>
      <c r="N267" s="135"/>
      <c r="O267" s="135"/>
      <c r="P267" s="135"/>
      <c r="Q267" s="135"/>
      <c r="R267" s="135"/>
      <c r="S267" s="135"/>
      <c r="T267" s="135"/>
      <c r="U267" s="135"/>
      <c r="V267" s="135"/>
      <c r="W267" s="135"/>
      <c r="X267" s="135"/>
      <c r="Y267" s="135"/>
      <c r="Z267" s="135"/>
      <c r="AA267" s="135"/>
      <c r="AB267" s="135"/>
      <c r="AC267" s="135"/>
      <c r="AD267" s="148" t="s">
        <v>153</v>
      </c>
      <c r="AE267" s="149"/>
      <c r="AF267" s="149"/>
      <c r="AG267" s="149"/>
      <c r="AH267" s="149"/>
      <c r="AI267" s="136"/>
    </row>
    <row r="268" spans="1:35" x14ac:dyDescent="0.3">
      <c r="A268" s="134"/>
      <c r="B268" s="135"/>
      <c r="C268" s="135"/>
      <c r="D268" s="135"/>
      <c r="E268" s="135"/>
      <c r="F268" s="135"/>
      <c r="G268" s="135"/>
      <c r="H268" s="135"/>
      <c r="I268" s="135"/>
      <c r="J268" s="135"/>
      <c r="K268" s="135"/>
      <c r="L268" s="135"/>
      <c r="M268" s="135"/>
      <c r="N268" s="135"/>
      <c r="O268" s="135"/>
      <c r="P268" s="135"/>
      <c r="Q268" s="135"/>
      <c r="R268" s="135"/>
      <c r="S268" s="135"/>
      <c r="T268" s="135"/>
      <c r="U268" s="135"/>
      <c r="V268" s="135"/>
      <c r="W268" s="135"/>
      <c r="X268" s="135"/>
      <c r="Y268" s="135"/>
      <c r="Z268" s="135"/>
      <c r="AA268" s="135"/>
      <c r="AB268" s="135"/>
      <c r="AC268" s="135"/>
      <c r="AD268" s="149"/>
      <c r="AE268" s="149"/>
      <c r="AF268" s="149"/>
      <c r="AG268" s="149"/>
      <c r="AH268" s="149"/>
      <c r="AI268" s="136"/>
    </row>
    <row r="269" spans="1:35" x14ac:dyDescent="0.3">
      <c r="A269" s="134"/>
      <c r="B269" s="135"/>
      <c r="C269" s="135"/>
      <c r="D269" s="135"/>
      <c r="E269" s="135"/>
      <c r="F269" s="135"/>
      <c r="G269" s="135"/>
      <c r="H269" s="135"/>
      <c r="I269" s="135"/>
      <c r="J269" s="135"/>
      <c r="K269" s="135"/>
      <c r="L269" s="135"/>
      <c r="M269" s="135"/>
      <c r="N269" s="135"/>
      <c r="O269" s="135"/>
      <c r="P269" s="135"/>
      <c r="Q269" s="135"/>
      <c r="R269" s="135"/>
      <c r="S269" s="135"/>
      <c r="T269" s="135"/>
      <c r="U269" s="135"/>
      <c r="V269" s="135"/>
      <c r="W269" s="135"/>
      <c r="X269" s="135"/>
      <c r="Y269" s="135"/>
      <c r="Z269" s="135"/>
      <c r="AA269" s="135"/>
      <c r="AB269" s="135"/>
      <c r="AC269" s="135"/>
      <c r="AD269" s="149"/>
      <c r="AE269" s="149"/>
      <c r="AF269" s="149"/>
      <c r="AG269" s="149"/>
      <c r="AH269" s="149"/>
      <c r="AI269" s="136"/>
    </row>
    <row r="270" spans="1:35" x14ac:dyDescent="0.3">
      <c r="A270" s="134"/>
      <c r="B270" s="135"/>
      <c r="C270" s="135"/>
      <c r="D270" s="135"/>
      <c r="E270" s="135"/>
      <c r="F270" s="135"/>
      <c r="G270" s="135"/>
      <c r="H270" s="135"/>
      <c r="I270" s="135"/>
      <c r="J270" s="135"/>
      <c r="K270" s="135"/>
      <c r="L270" s="135"/>
      <c r="M270" s="135"/>
      <c r="N270" s="135"/>
      <c r="O270" s="135"/>
      <c r="P270" s="135"/>
      <c r="Q270" s="135"/>
      <c r="R270" s="135"/>
      <c r="S270" s="135"/>
      <c r="T270" s="135"/>
      <c r="U270" s="135"/>
      <c r="V270" s="135"/>
      <c r="W270" s="135"/>
      <c r="X270" s="135"/>
      <c r="Y270" s="135"/>
      <c r="Z270" s="135"/>
      <c r="AA270" s="135"/>
      <c r="AB270" s="135"/>
      <c r="AC270" s="135"/>
      <c r="AD270" s="149"/>
      <c r="AE270" s="149"/>
      <c r="AF270" s="149"/>
      <c r="AG270" s="149"/>
      <c r="AH270" s="149"/>
      <c r="AI270" s="136"/>
    </row>
    <row r="271" spans="1:35" x14ac:dyDescent="0.3">
      <c r="A271" s="134"/>
      <c r="B271" s="135"/>
      <c r="C271" s="135"/>
      <c r="D271" s="135"/>
      <c r="E271" s="135"/>
      <c r="F271" s="135"/>
      <c r="G271" s="135"/>
      <c r="H271" s="135"/>
      <c r="I271" s="135"/>
      <c r="J271" s="135"/>
      <c r="K271" s="135"/>
      <c r="L271" s="135"/>
      <c r="M271" s="135"/>
      <c r="N271" s="135"/>
      <c r="O271" s="135"/>
      <c r="P271" s="135"/>
      <c r="Q271" s="135"/>
      <c r="R271" s="135"/>
      <c r="S271" s="135"/>
      <c r="T271" s="135"/>
      <c r="U271" s="135"/>
      <c r="V271" s="135"/>
      <c r="W271" s="135"/>
      <c r="X271" s="135"/>
      <c r="Y271" s="135"/>
      <c r="Z271" s="135"/>
      <c r="AA271" s="135"/>
      <c r="AB271" s="135"/>
      <c r="AC271" s="135"/>
      <c r="AD271" s="149"/>
      <c r="AE271" s="149"/>
      <c r="AF271" s="149"/>
      <c r="AG271" s="149"/>
      <c r="AH271" s="149"/>
      <c r="AI271" s="136"/>
    </row>
    <row r="272" spans="1:35" x14ac:dyDescent="0.3">
      <c r="A272" s="134"/>
      <c r="B272" s="135"/>
      <c r="C272" s="135"/>
      <c r="D272" s="135"/>
      <c r="E272" s="135"/>
      <c r="F272" s="135"/>
      <c r="G272" s="135"/>
      <c r="H272" s="135"/>
      <c r="I272" s="135"/>
      <c r="J272" s="135"/>
      <c r="K272" s="135"/>
      <c r="L272" s="135"/>
      <c r="M272" s="135"/>
      <c r="N272" s="135"/>
      <c r="O272" s="135"/>
      <c r="P272" s="135"/>
      <c r="Q272" s="135"/>
      <c r="R272" s="135"/>
      <c r="S272" s="135"/>
      <c r="T272" s="135"/>
      <c r="U272" s="135"/>
      <c r="V272" s="135"/>
      <c r="W272" s="135"/>
      <c r="X272" s="135"/>
      <c r="Y272" s="135"/>
      <c r="Z272" s="135"/>
      <c r="AA272" s="135"/>
      <c r="AB272" s="135"/>
      <c r="AC272" s="135"/>
      <c r="AD272" s="149"/>
      <c r="AE272" s="149"/>
      <c r="AF272" s="149"/>
      <c r="AG272" s="149"/>
      <c r="AH272" s="149"/>
      <c r="AI272" s="136"/>
    </row>
    <row r="273" spans="1:35" x14ac:dyDescent="0.3">
      <c r="A273" s="134"/>
      <c r="B273" s="135"/>
      <c r="C273" s="135"/>
      <c r="D273" s="135"/>
      <c r="E273" s="135"/>
      <c r="F273" s="135"/>
      <c r="G273" s="135"/>
      <c r="H273" s="135"/>
      <c r="I273" s="135"/>
      <c r="J273" s="135"/>
      <c r="K273" s="135"/>
      <c r="L273" s="135"/>
      <c r="M273" s="135"/>
      <c r="N273" s="135"/>
      <c r="O273" s="135"/>
      <c r="P273" s="135"/>
      <c r="Q273" s="135"/>
      <c r="R273" s="135"/>
      <c r="S273" s="135"/>
      <c r="T273" s="135"/>
      <c r="U273" s="135"/>
      <c r="V273" s="135"/>
      <c r="W273" s="135"/>
      <c r="X273" s="135"/>
      <c r="Y273" s="135"/>
      <c r="Z273" s="135"/>
      <c r="AA273" s="135"/>
      <c r="AB273" s="135"/>
      <c r="AC273" s="135"/>
      <c r="AD273" s="149"/>
      <c r="AE273" s="149"/>
      <c r="AF273" s="149"/>
      <c r="AG273" s="149"/>
      <c r="AH273" s="149"/>
      <c r="AI273" s="136"/>
    </row>
    <row r="274" spans="1:35" x14ac:dyDescent="0.3">
      <c r="A274" s="134"/>
      <c r="B274" s="135"/>
      <c r="C274" s="135"/>
      <c r="D274" s="135"/>
      <c r="E274" s="135"/>
      <c r="F274" s="135"/>
      <c r="G274" s="135"/>
      <c r="H274" s="135"/>
      <c r="I274" s="135"/>
      <c r="J274" s="135"/>
      <c r="K274" s="135"/>
      <c r="L274" s="135"/>
      <c r="M274" s="135"/>
      <c r="N274" s="135"/>
      <c r="O274" s="135"/>
      <c r="P274" s="135"/>
      <c r="Q274" s="135"/>
      <c r="R274" s="135"/>
      <c r="S274" s="135"/>
      <c r="T274" s="135"/>
      <c r="U274" s="135"/>
      <c r="V274" s="135"/>
      <c r="W274" s="135"/>
      <c r="X274" s="135"/>
      <c r="Y274" s="135"/>
      <c r="Z274" s="135"/>
      <c r="AA274" s="135"/>
      <c r="AB274" s="135"/>
      <c r="AC274" s="135"/>
      <c r="AD274" s="135"/>
      <c r="AE274" s="135"/>
      <c r="AF274" s="135"/>
      <c r="AG274" s="135"/>
      <c r="AH274" s="135"/>
      <c r="AI274" s="136"/>
    </row>
    <row r="275" spans="1:35" x14ac:dyDescent="0.3">
      <c r="A275" s="134"/>
      <c r="B275" s="135"/>
      <c r="C275" s="135"/>
      <c r="D275" s="135"/>
      <c r="E275" s="135"/>
      <c r="F275" s="135"/>
      <c r="G275" s="135"/>
      <c r="H275" s="135"/>
      <c r="I275" s="135"/>
      <c r="J275" s="135"/>
      <c r="K275" s="135"/>
      <c r="L275" s="135"/>
      <c r="M275" s="135"/>
      <c r="N275" s="135"/>
      <c r="O275" s="135"/>
      <c r="P275" s="135"/>
      <c r="Q275" s="135"/>
      <c r="R275" s="135"/>
      <c r="S275" s="135"/>
      <c r="T275" s="135"/>
      <c r="U275" s="135"/>
      <c r="V275" s="135"/>
      <c r="W275" s="135"/>
      <c r="X275" s="135"/>
      <c r="Y275" s="135"/>
      <c r="Z275" s="135"/>
      <c r="AA275" s="135"/>
      <c r="AB275" s="135"/>
      <c r="AC275" s="135"/>
      <c r="AD275" s="135"/>
      <c r="AE275" s="135"/>
      <c r="AF275" s="135"/>
      <c r="AG275" s="135"/>
      <c r="AH275" s="135"/>
      <c r="AI275" s="136"/>
    </row>
    <row r="276" spans="1:35" x14ac:dyDescent="0.3">
      <c r="A276" s="134"/>
      <c r="B276" s="135"/>
      <c r="C276" s="135"/>
      <c r="D276" s="135"/>
      <c r="E276" s="135"/>
      <c r="F276" s="135"/>
      <c r="G276" s="135"/>
      <c r="H276" s="135"/>
      <c r="I276" s="135"/>
      <c r="J276" s="135"/>
      <c r="K276" s="135"/>
      <c r="L276" s="135"/>
      <c r="M276" s="135"/>
      <c r="N276" s="135"/>
      <c r="O276" s="135"/>
      <c r="P276" s="135"/>
      <c r="Q276" s="135"/>
      <c r="R276" s="135"/>
      <c r="S276" s="135"/>
      <c r="T276" s="135"/>
      <c r="U276" s="135"/>
      <c r="V276" s="135"/>
      <c r="W276" s="135"/>
      <c r="X276" s="135"/>
      <c r="Y276" s="135"/>
      <c r="Z276" s="135"/>
      <c r="AA276" s="135"/>
      <c r="AB276" s="135"/>
      <c r="AC276" s="135"/>
      <c r="AD276" s="135"/>
      <c r="AE276" s="135"/>
      <c r="AF276" s="135"/>
      <c r="AG276" s="135"/>
      <c r="AH276" s="135"/>
      <c r="AI276" s="136"/>
    </row>
    <row r="277" spans="1:35" x14ac:dyDescent="0.3">
      <c r="A277" s="134"/>
      <c r="B277" s="135"/>
      <c r="C277" s="135"/>
      <c r="D277" s="135"/>
      <c r="E277" s="135"/>
      <c r="F277" s="135"/>
      <c r="G277" s="135"/>
      <c r="H277" s="135"/>
      <c r="I277" s="135"/>
      <c r="J277" s="135"/>
      <c r="K277" s="135"/>
      <c r="L277" s="135"/>
      <c r="M277" s="135"/>
      <c r="N277" s="135"/>
      <c r="O277" s="135"/>
      <c r="P277" s="135"/>
      <c r="Q277" s="135"/>
      <c r="R277" s="135"/>
      <c r="S277" s="135"/>
      <c r="T277" s="135"/>
      <c r="U277" s="135"/>
      <c r="V277" s="135"/>
      <c r="W277" s="135"/>
      <c r="X277" s="135"/>
      <c r="Y277" s="135"/>
      <c r="Z277" s="135"/>
      <c r="AA277" s="135"/>
      <c r="AB277" s="135"/>
      <c r="AC277" s="135"/>
      <c r="AD277" s="135"/>
      <c r="AE277" s="135"/>
      <c r="AF277" s="135"/>
      <c r="AG277" s="135"/>
      <c r="AH277" s="135"/>
      <c r="AI277" s="136"/>
    </row>
    <row r="278" spans="1:35" x14ac:dyDescent="0.3">
      <c r="A278" s="134"/>
      <c r="B278" s="135"/>
      <c r="C278" s="135"/>
      <c r="D278" s="135"/>
      <c r="E278" s="135"/>
      <c r="F278" s="135"/>
      <c r="G278" s="135"/>
      <c r="H278" s="135"/>
      <c r="I278" s="135"/>
      <c r="J278" s="135"/>
      <c r="K278" s="135"/>
      <c r="L278" s="135"/>
      <c r="M278" s="135"/>
      <c r="N278" s="135"/>
      <c r="O278" s="135"/>
      <c r="P278" s="135"/>
      <c r="Q278" s="135"/>
      <c r="R278" s="135"/>
      <c r="S278" s="135"/>
      <c r="T278" s="135"/>
      <c r="U278" s="135"/>
      <c r="V278" s="135"/>
      <c r="W278" s="135"/>
      <c r="X278" s="135"/>
      <c r="Y278" s="135"/>
      <c r="Z278" s="135"/>
      <c r="AA278" s="135"/>
      <c r="AB278" s="135"/>
      <c r="AC278" s="135"/>
      <c r="AD278" s="135"/>
      <c r="AE278" s="135"/>
      <c r="AF278" s="135"/>
      <c r="AG278" s="135"/>
      <c r="AH278" s="135"/>
      <c r="AI278" s="136"/>
    </row>
    <row r="279" spans="1:35" ht="16.2" thickBot="1" x14ac:dyDescent="0.35">
      <c r="A279" s="137"/>
      <c r="B279" s="138"/>
      <c r="C279" s="138"/>
      <c r="D279" s="138"/>
      <c r="E279" s="138"/>
      <c r="F279" s="138"/>
      <c r="G279" s="138"/>
      <c r="H279" s="138"/>
      <c r="I279" s="138"/>
      <c r="J279" s="138"/>
      <c r="K279" s="138"/>
      <c r="L279" s="138"/>
      <c r="M279" s="138"/>
      <c r="N279" s="138"/>
      <c r="O279" s="138"/>
      <c r="P279" s="138"/>
      <c r="Q279" s="138"/>
      <c r="R279" s="138"/>
      <c r="S279" s="138"/>
      <c r="T279" s="138"/>
      <c r="U279" s="138"/>
      <c r="V279" s="138"/>
      <c r="W279" s="138"/>
      <c r="X279" s="138"/>
      <c r="Y279" s="138"/>
      <c r="Z279" s="138"/>
      <c r="AA279" s="138"/>
      <c r="AB279" s="138"/>
      <c r="AC279" s="138"/>
      <c r="AD279" s="138"/>
      <c r="AE279" s="138"/>
      <c r="AF279" s="138"/>
      <c r="AG279" s="138"/>
      <c r="AH279" s="138"/>
      <c r="AI279" s="139"/>
    </row>
    <row r="280" spans="1:35" x14ac:dyDescent="0.3">
      <c r="A280" s="131"/>
      <c r="B280" s="132"/>
      <c r="C280" s="132"/>
      <c r="D280" s="132"/>
      <c r="E280" s="132"/>
      <c r="F280" s="132"/>
      <c r="G280" s="132"/>
      <c r="H280" s="132"/>
      <c r="I280" s="132"/>
      <c r="J280" s="132"/>
      <c r="K280" s="132"/>
      <c r="L280" s="132"/>
      <c r="M280" s="132"/>
      <c r="N280" s="132"/>
      <c r="O280" s="132"/>
      <c r="P280" s="132"/>
      <c r="Q280" s="132"/>
      <c r="R280" s="132"/>
      <c r="S280" s="132"/>
      <c r="T280" s="132"/>
      <c r="U280" s="132"/>
      <c r="V280" s="132"/>
      <c r="W280" s="132"/>
      <c r="X280" s="132"/>
      <c r="Y280" s="132"/>
      <c r="Z280" s="132"/>
      <c r="AA280" s="132"/>
      <c r="AB280" s="132"/>
      <c r="AC280" s="132"/>
      <c r="AD280" s="132"/>
      <c r="AE280" s="132"/>
      <c r="AF280" s="132"/>
      <c r="AG280" s="132"/>
      <c r="AH280" s="132"/>
      <c r="AI280" s="133"/>
    </row>
    <row r="281" spans="1:35" x14ac:dyDescent="0.3">
      <c r="A281" s="134"/>
      <c r="B281" s="135"/>
      <c r="C281" s="135"/>
      <c r="D281" s="135"/>
      <c r="E281" s="135"/>
      <c r="F281" s="135"/>
      <c r="G281" s="135"/>
      <c r="H281" s="135"/>
      <c r="I281" s="135"/>
      <c r="J281" s="135"/>
      <c r="K281" s="135"/>
      <c r="L281" s="135"/>
      <c r="M281" s="135"/>
      <c r="N281" s="135"/>
      <c r="O281" s="135"/>
      <c r="P281" s="135"/>
      <c r="Q281" s="135"/>
      <c r="R281" s="135"/>
      <c r="S281" s="135"/>
      <c r="T281" s="135"/>
      <c r="U281" s="135"/>
      <c r="V281" s="135"/>
      <c r="W281" s="135"/>
      <c r="X281" s="135"/>
      <c r="Y281" s="135"/>
      <c r="Z281" s="135"/>
      <c r="AA281" s="135"/>
      <c r="AB281" s="135"/>
      <c r="AC281" s="135"/>
      <c r="AD281" s="135"/>
      <c r="AE281" s="135"/>
      <c r="AF281" s="135"/>
      <c r="AG281" s="135"/>
      <c r="AH281" s="135"/>
      <c r="AI281" s="136"/>
    </row>
    <row r="282" spans="1:35" x14ac:dyDescent="0.3">
      <c r="A282" s="134"/>
      <c r="B282" s="135"/>
      <c r="C282" s="135"/>
      <c r="D282" s="135"/>
      <c r="E282" s="135"/>
      <c r="F282" s="135"/>
      <c r="G282" s="135"/>
      <c r="H282" s="135"/>
      <c r="I282" s="135"/>
      <c r="J282" s="135"/>
      <c r="K282" s="135"/>
      <c r="L282" s="135"/>
      <c r="M282" s="135"/>
      <c r="N282" s="135"/>
      <c r="O282" s="135"/>
      <c r="P282" s="135"/>
      <c r="Q282" s="135"/>
      <c r="R282" s="135"/>
      <c r="S282" s="135"/>
      <c r="T282" s="135"/>
      <c r="U282" s="135"/>
      <c r="V282" s="135"/>
      <c r="W282" s="135"/>
      <c r="X282" s="135"/>
      <c r="Y282" s="135"/>
      <c r="Z282" s="135"/>
      <c r="AA282" s="135"/>
      <c r="AB282" s="135"/>
      <c r="AC282" s="135"/>
      <c r="AD282" s="135"/>
      <c r="AE282" s="135"/>
      <c r="AF282" s="135"/>
      <c r="AG282" s="135"/>
      <c r="AH282" s="135"/>
      <c r="AI282" s="136"/>
    </row>
    <row r="283" spans="1:35" x14ac:dyDescent="0.3">
      <c r="A283" s="134"/>
      <c r="B283" s="135"/>
      <c r="C283" s="135"/>
      <c r="D283" s="135"/>
      <c r="E283" s="135"/>
      <c r="F283" s="135"/>
      <c r="G283" s="135"/>
      <c r="H283" s="135"/>
      <c r="I283" s="135"/>
      <c r="J283" s="135"/>
      <c r="K283" s="135"/>
      <c r="L283" s="135"/>
      <c r="M283" s="135"/>
      <c r="N283" s="135"/>
      <c r="O283" s="135"/>
      <c r="P283" s="135"/>
      <c r="Q283" s="135"/>
      <c r="R283" s="135"/>
      <c r="S283" s="135"/>
      <c r="T283" s="135"/>
      <c r="U283" s="135"/>
      <c r="V283" s="135"/>
      <c r="W283" s="135"/>
      <c r="X283" s="135"/>
      <c r="Y283" s="135"/>
      <c r="Z283" s="135"/>
      <c r="AA283" s="135"/>
      <c r="AB283" s="135"/>
      <c r="AC283" s="135"/>
      <c r="AD283" s="148" t="s">
        <v>154</v>
      </c>
      <c r="AE283" s="149"/>
      <c r="AF283" s="149"/>
      <c r="AG283" s="149"/>
      <c r="AH283" s="149"/>
      <c r="AI283" s="136"/>
    </row>
    <row r="284" spans="1:35" x14ac:dyDescent="0.3">
      <c r="A284" s="134"/>
      <c r="B284" s="135"/>
      <c r="C284" s="135"/>
      <c r="D284" s="135"/>
      <c r="E284" s="135"/>
      <c r="F284" s="135"/>
      <c r="G284" s="135"/>
      <c r="H284" s="135"/>
      <c r="I284" s="135"/>
      <c r="J284" s="135"/>
      <c r="K284" s="135"/>
      <c r="L284" s="135"/>
      <c r="M284" s="135"/>
      <c r="N284" s="135"/>
      <c r="O284" s="135"/>
      <c r="P284" s="135"/>
      <c r="Q284" s="135"/>
      <c r="R284" s="135"/>
      <c r="S284" s="135"/>
      <c r="T284" s="135"/>
      <c r="U284" s="135"/>
      <c r="V284" s="135"/>
      <c r="W284" s="135"/>
      <c r="X284" s="135"/>
      <c r="Y284" s="135"/>
      <c r="Z284" s="135"/>
      <c r="AA284" s="135"/>
      <c r="AB284" s="135"/>
      <c r="AC284" s="135"/>
      <c r="AD284" s="149"/>
      <c r="AE284" s="149"/>
      <c r="AF284" s="149"/>
      <c r="AG284" s="149"/>
      <c r="AH284" s="149"/>
      <c r="AI284" s="136"/>
    </row>
    <row r="285" spans="1:35" x14ac:dyDescent="0.3">
      <c r="A285" s="134"/>
      <c r="B285" s="135"/>
      <c r="C285" s="135"/>
      <c r="D285" s="135"/>
      <c r="E285" s="135"/>
      <c r="F285" s="135"/>
      <c r="G285" s="135"/>
      <c r="H285" s="135"/>
      <c r="I285" s="135"/>
      <c r="J285" s="135"/>
      <c r="K285" s="135"/>
      <c r="L285" s="135"/>
      <c r="M285" s="135"/>
      <c r="N285" s="135"/>
      <c r="O285" s="135"/>
      <c r="P285" s="135"/>
      <c r="Q285" s="135"/>
      <c r="R285" s="135"/>
      <c r="S285" s="135"/>
      <c r="T285" s="135"/>
      <c r="U285" s="135"/>
      <c r="V285" s="135"/>
      <c r="W285" s="135"/>
      <c r="X285" s="135"/>
      <c r="Y285" s="135"/>
      <c r="Z285" s="135"/>
      <c r="AA285" s="135"/>
      <c r="AB285" s="135"/>
      <c r="AC285" s="135"/>
      <c r="AD285" s="149"/>
      <c r="AE285" s="149"/>
      <c r="AF285" s="149"/>
      <c r="AG285" s="149"/>
      <c r="AH285" s="149"/>
      <c r="AI285" s="136"/>
    </row>
    <row r="286" spans="1:35" x14ac:dyDescent="0.3">
      <c r="A286" s="134"/>
      <c r="B286" s="135"/>
      <c r="C286" s="135"/>
      <c r="D286" s="135"/>
      <c r="E286" s="135"/>
      <c r="F286" s="135"/>
      <c r="G286" s="135"/>
      <c r="H286" s="135"/>
      <c r="I286" s="135"/>
      <c r="J286" s="135"/>
      <c r="K286" s="135"/>
      <c r="L286" s="135"/>
      <c r="M286" s="135"/>
      <c r="N286" s="135"/>
      <c r="O286" s="135"/>
      <c r="P286" s="135"/>
      <c r="Q286" s="135"/>
      <c r="R286" s="135"/>
      <c r="S286" s="135"/>
      <c r="T286" s="135"/>
      <c r="U286" s="135"/>
      <c r="V286" s="135"/>
      <c r="W286" s="135"/>
      <c r="X286" s="135"/>
      <c r="Y286" s="135"/>
      <c r="Z286" s="135"/>
      <c r="AA286" s="135"/>
      <c r="AB286" s="135"/>
      <c r="AC286" s="135"/>
      <c r="AD286" s="149"/>
      <c r="AE286" s="149"/>
      <c r="AF286" s="149"/>
      <c r="AG286" s="149"/>
      <c r="AH286" s="149"/>
      <c r="AI286" s="136"/>
    </row>
    <row r="287" spans="1:35" x14ac:dyDescent="0.3">
      <c r="A287" s="134"/>
      <c r="B287" s="135"/>
      <c r="C287" s="135"/>
      <c r="D287" s="135"/>
      <c r="E287" s="135"/>
      <c r="F287" s="135"/>
      <c r="G287" s="135"/>
      <c r="H287" s="135"/>
      <c r="I287" s="135"/>
      <c r="J287" s="135"/>
      <c r="K287" s="135"/>
      <c r="L287" s="135"/>
      <c r="M287" s="135"/>
      <c r="N287" s="135"/>
      <c r="O287" s="135"/>
      <c r="P287" s="135"/>
      <c r="Q287" s="135"/>
      <c r="R287" s="135"/>
      <c r="S287" s="135"/>
      <c r="T287" s="135"/>
      <c r="U287" s="135"/>
      <c r="V287" s="135"/>
      <c r="W287" s="135"/>
      <c r="X287" s="135"/>
      <c r="Y287" s="135"/>
      <c r="Z287" s="135"/>
      <c r="AA287" s="135"/>
      <c r="AB287" s="135"/>
      <c r="AC287" s="135"/>
      <c r="AD287" s="149"/>
      <c r="AE287" s="149"/>
      <c r="AF287" s="149"/>
      <c r="AG287" s="149"/>
      <c r="AH287" s="149"/>
      <c r="AI287" s="136"/>
    </row>
    <row r="288" spans="1:35" x14ac:dyDescent="0.3">
      <c r="A288" s="134"/>
      <c r="B288" s="135"/>
      <c r="C288" s="135"/>
      <c r="D288" s="135"/>
      <c r="E288" s="135"/>
      <c r="F288" s="135"/>
      <c r="G288" s="135"/>
      <c r="H288" s="135"/>
      <c r="I288" s="135"/>
      <c r="J288" s="135"/>
      <c r="K288" s="135"/>
      <c r="L288" s="135"/>
      <c r="M288" s="135"/>
      <c r="N288" s="135"/>
      <c r="O288" s="135"/>
      <c r="P288" s="135"/>
      <c r="Q288" s="135"/>
      <c r="R288" s="135"/>
      <c r="S288" s="135"/>
      <c r="T288" s="135"/>
      <c r="U288" s="135"/>
      <c r="V288" s="135"/>
      <c r="W288" s="135"/>
      <c r="X288" s="135"/>
      <c r="Y288" s="135"/>
      <c r="Z288" s="135"/>
      <c r="AA288" s="135"/>
      <c r="AB288" s="135"/>
      <c r="AC288" s="135"/>
      <c r="AD288" s="149"/>
      <c r="AE288" s="149"/>
      <c r="AF288" s="149"/>
      <c r="AG288" s="149"/>
      <c r="AH288" s="149"/>
      <c r="AI288" s="136"/>
    </row>
    <row r="289" spans="1:35" x14ac:dyDescent="0.3">
      <c r="A289" s="134"/>
      <c r="B289" s="135"/>
      <c r="C289" s="135"/>
      <c r="D289" s="135"/>
      <c r="E289" s="135"/>
      <c r="F289" s="135"/>
      <c r="G289" s="135"/>
      <c r="H289" s="135"/>
      <c r="I289" s="135"/>
      <c r="J289" s="135"/>
      <c r="K289" s="135"/>
      <c r="L289" s="135"/>
      <c r="M289" s="135"/>
      <c r="N289" s="135"/>
      <c r="O289" s="135"/>
      <c r="P289" s="135"/>
      <c r="Q289" s="135"/>
      <c r="R289" s="135"/>
      <c r="S289" s="135"/>
      <c r="T289" s="135"/>
      <c r="U289" s="135"/>
      <c r="V289" s="135"/>
      <c r="W289" s="135"/>
      <c r="X289" s="135"/>
      <c r="Y289" s="135"/>
      <c r="Z289" s="135"/>
      <c r="AA289" s="135"/>
      <c r="AB289" s="135"/>
      <c r="AC289" s="135"/>
      <c r="AD289" s="149"/>
      <c r="AE289" s="149"/>
      <c r="AF289" s="149"/>
      <c r="AG289" s="149"/>
      <c r="AH289" s="149"/>
      <c r="AI289" s="136"/>
    </row>
    <row r="290" spans="1:35" x14ac:dyDescent="0.3">
      <c r="A290" s="134"/>
      <c r="B290" s="135"/>
      <c r="C290" s="135"/>
      <c r="D290" s="135"/>
      <c r="E290" s="135"/>
      <c r="F290" s="135"/>
      <c r="G290" s="135"/>
      <c r="H290" s="135"/>
      <c r="I290" s="135"/>
      <c r="J290" s="135"/>
      <c r="K290" s="135"/>
      <c r="L290" s="135"/>
      <c r="M290" s="135"/>
      <c r="N290" s="135"/>
      <c r="O290" s="135"/>
      <c r="P290" s="135"/>
      <c r="Q290" s="135"/>
      <c r="R290" s="135"/>
      <c r="S290" s="135"/>
      <c r="T290" s="135"/>
      <c r="U290" s="135"/>
      <c r="V290" s="135"/>
      <c r="W290" s="135"/>
      <c r="X290" s="135"/>
      <c r="Y290" s="135"/>
      <c r="Z290" s="135"/>
      <c r="AA290" s="135"/>
      <c r="AB290" s="135"/>
      <c r="AC290" s="135"/>
      <c r="AD290" s="135"/>
      <c r="AE290" s="135"/>
      <c r="AF290" s="135"/>
      <c r="AG290" s="135"/>
      <c r="AH290" s="135"/>
      <c r="AI290" s="136"/>
    </row>
    <row r="291" spans="1:35" x14ac:dyDescent="0.3">
      <c r="A291" s="134"/>
      <c r="B291" s="135"/>
      <c r="C291" s="135"/>
      <c r="D291" s="135"/>
      <c r="E291" s="135"/>
      <c r="F291" s="135"/>
      <c r="G291" s="135"/>
      <c r="H291" s="135"/>
      <c r="I291" s="135"/>
      <c r="J291" s="135"/>
      <c r="K291" s="135"/>
      <c r="L291" s="135"/>
      <c r="M291" s="135"/>
      <c r="N291" s="135"/>
      <c r="O291" s="135"/>
      <c r="P291" s="135"/>
      <c r="Q291" s="135"/>
      <c r="R291" s="135"/>
      <c r="S291" s="135"/>
      <c r="T291" s="135"/>
      <c r="U291" s="135"/>
      <c r="V291" s="135"/>
      <c r="W291" s="135"/>
      <c r="X291" s="135"/>
      <c r="Y291" s="135"/>
      <c r="Z291" s="135"/>
      <c r="AA291" s="135"/>
      <c r="AB291" s="135"/>
      <c r="AC291" s="135"/>
      <c r="AD291" s="135"/>
      <c r="AE291" s="135"/>
      <c r="AF291" s="135"/>
      <c r="AG291" s="135"/>
      <c r="AH291" s="135"/>
      <c r="AI291" s="136"/>
    </row>
    <row r="292" spans="1:35" x14ac:dyDescent="0.3">
      <c r="A292" s="134"/>
      <c r="B292" s="135"/>
      <c r="C292" s="135"/>
      <c r="D292" s="135"/>
      <c r="E292" s="135"/>
      <c r="F292" s="135"/>
      <c r="G292" s="135"/>
      <c r="H292" s="135"/>
      <c r="I292" s="135"/>
      <c r="J292" s="135"/>
      <c r="K292" s="135"/>
      <c r="L292" s="135"/>
      <c r="M292" s="135"/>
      <c r="N292" s="135"/>
      <c r="O292" s="135"/>
      <c r="P292" s="135"/>
      <c r="Q292" s="135"/>
      <c r="R292" s="135"/>
      <c r="S292" s="135"/>
      <c r="T292" s="135"/>
      <c r="U292" s="135"/>
      <c r="V292" s="135"/>
      <c r="W292" s="135"/>
      <c r="X292" s="135"/>
      <c r="Y292" s="135"/>
      <c r="Z292" s="135"/>
      <c r="AA292" s="135"/>
      <c r="AB292" s="135"/>
      <c r="AC292" s="135"/>
      <c r="AD292" s="135"/>
      <c r="AE292" s="135"/>
      <c r="AF292" s="135"/>
      <c r="AG292" s="135"/>
      <c r="AH292" s="135"/>
      <c r="AI292" s="136"/>
    </row>
    <row r="293" spans="1:35" x14ac:dyDescent="0.3">
      <c r="A293" s="134"/>
      <c r="B293" s="135"/>
      <c r="C293" s="135"/>
      <c r="D293" s="135"/>
      <c r="E293" s="135"/>
      <c r="F293" s="135"/>
      <c r="G293" s="135"/>
      <c r="H293" s="135"/>
      <c r="I293" s="135"/>
      <c r="J293" s="135"/>
      <c r="K293" s="135"/>
      <c r="L293" s="135"/>
      <c r="M293" s="135"/>
      <c r="N293" s="135"/>
      <c r="O293" s="135"/>
      <c r="P293" s="135"/>
      <c r="Q293" s="135"/>
      <c r="R293" s="135"/>
      <c r="S293" s="135"/>
      <c r="T293" s="135"/>
      <c r="U293" s="135"/>
      <c r="V293" s="135"/>
      <c r="W293" s="135"/>
      <c r="X293" s="135"/>
      <c r="Y293" s="135"/>
      <c r="Z293" s="135"/>
      <c r="AA293" s="135"/>
      <c r="AB293" s="135"/>
      <c r="AC293" s="135"/>
      <c r="AD293" s="135"/>
      <c r="AE293" s="135"/>
      <c r="AF293" s="135"/>
      <c r="AG293" s="135"/>
      <c r="AH293" s="135"/>
      <c r="AI293" s="136"/>
    </row>
    <row r="294" spans="1:35" x14ac:dyDescent="0.3">
      <c r="A294" s="134"/>
      <c r="B294" s="135"/>
      <c r="C294" s="135"/>
      <c r="D294" s="135"/>
      <c r="E294" s="135"/>
      <c r="F294" s="135"/>
      <c r="G294" s="135"/>
      <c r="H294" s="135"/>
      <c r="I294" s="135"/>
      <c r="J294" s="135"/>
      <c r="K294" s="135"/>
      <c r="L294" s="135"/>
      <c r="M294" s="135"/>
      <c r="N294" s="135"/>
      <c r="O294" s="135"/>
      <c r="P294" s="135"/>
      <c r="Q294" s="135"/>
      <c r="R294" s="135"/>
      <c r="S294" s="135"/>
      <c r="T294" s="135"/>
      <c r="U294" s="135"/>
      <c r="V294" s="135"/>
      <c r="W294" s="135"/>
      <c r="X294" s="135"/>
      <c r="Y294" s="135"/>
      <c r="Z294" s="135"/>
      <c r="AA294" s="135"/>
      <c r="AB294" s="135"/>
      <c r="AC294" s="135"/>
      <c r="AD294" s="135"/>
      <c r="AE294" s="135"/>
      <c r="AF294" s="135"/>
      <c r="AG294" s="135"/>
      <c r="AH294" s="135"/>
      <c r="AI294" s="136"/>
    </row>
    <row r="295" spans="1:35" x14ac:dyDescent="0.3">
      <c r="A295" s="134"/>
      <c r="B295" s="135"/>
      <c r="C295" s="135"/>
      <c r="D295" s="135"/>
      <c r="E295" s="135"/>
      <c r="F295" s="135"/>
      <c r="G295" s="135"/>
      <c r="H295" s="135"/>
      <c r="I295" s="135"/>
      <c r="J295" s="135"/>
      <c r="K295" s="135"/>
      <c r="L295" s="135"/>
      <c r="M295" s="135"/>
      <c r="N295" s="135"/>
      <c r="O295" s="135"/>
      <c r="P295" s="135"/>
      <c r="Q295" s="135"/>
      <c r="R295" s="135"/>
      <c r="S295" s="135"/>
      <c r="T295" s="135"/>
      <c r="U295" s="135"/>
      <c r="V295" s="135"/>
      <c r="W295" s="135"/>
      <c r="X295" s="135"/>
      <c r="Y295" s="135"/>
      <c r="Z295" s="135"/>
      <c r="AA295" s="135"/>
      <c r="AB295" s="135"/>
      <c r="AC295" s="135"/>
      <c r="AD295" s="135"/>
      <c r="AE295" s="135"/>
      <c r="AF295" s="135"/>
      <c r="AG295" s="135"/>
      <c r="AH295" s="135"/>
      <c r="AI295" s="136"/>
    </row>
    <row r="296" spans="1:35" ht="16.2" thickBot="1" x14ac:dyDescent="0.35">
      <c r="A296" s="137"/>
      <c r="B296" s="138"/>
      <c r="C296" s="138"/>
      <c r="D296" s="138"/>
      <c r="E296" s="138"/>
      <c r="F296" s="138"/>
      <c r="G296" s="138"/>
      <c r="H296" s="138"/>
      <c r="I296" s="138"/>
      <c r="J296" s="138"/>
      <c r="K296" s="138"/>
      <c r="L296" s="138"/>
      <c r="M296" s="138"/>
      <c r="N296" s="138"/>
      <c r="O296" s="138"/>
      <c r="P296" s="138"/>
      <c r="Q296" s="138"/>
      <c r="R296" s="138"/>
      <c r="S296" s="138"/>
      <c r="T296" s="138"/>
      <c r="U296" s="138"/>
      <c r="V296" s="138"/>
      <c r="W296" s="138"/>
      <c r="X296" s="138"/>
      <c r="Y296" s="138"/>
      <c r="Z296" s="138"/>
      <c r="AA296" s="138"/>
      <c r="AB296" s="138"/>
      <c r="AC296" s="138"/>
      <c r="AD296" s="138"/>
      <c r="AE296" s="138"/>
      <c r="AF296" s="138"/>
      <c r="AG296" s="138"/>
      <c r="AH296" s="138"/>
      <c r="AI296" s="139"/>
    </row>
  </sheetData>
  <mergeCells count="18">
    <mergeCell ref="AD167:AH173"/>
    <mergeCell ref="AD5:AH11"/>
    <mergeCell ref="AD21:AH27"/>
    <mergeCell ref="AD36:AH42"/>
    <mergeCell ref="AD52:AH58"/>
    <mergeCell ref="AD69:AH75"/>
    <mergeCell ref="AD86:AH92"/>
    <mergeCell ref="AD103:AH109"/>
    <mergeCell ref="AD120:AH126"/>
    <mergeCell ref="AD135:AH141"/>
    <mergeCell ref="AD151:AH157"/>
    <mergeCell ref="AD283:AH289"/>
    <mergeCell ref="AD185:AH191"/>
    <mergeCell ref="AD201:AH207"/>
    <mergeCell ref="AD218:AH224"/>
    <mergeCell ref="AD233:AH239"/>
    <mergeCell ref="AD250:AH256"/>
    <mergeCell ref="AD267:AH27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8"/>
  <sheetViews>
    <sheetView zoomScale="80" zoomScaleNormal="80" workbookViewId="0">
      <selection activeCell="M56" sqref="M56"/>
    </sheetView>
  </sheetViews>
  <sheetFormatPr defaultRowHeight="15.6" x14ac:dyDescent="0.3"/>
  <cols>
    <col min="1" max="1" width="58.69921875" customWidth="1"/>
    <col min="2" max="2" width="28.296875" customWidth="1"/>
    <col min="11" max="11" width="8.796875" style="24"/>
  </cols>
  <sheetData>
    <row r="1" spans="1:14" x14ac:dyDescent="0.3">
      <c r="A1" s="61" t="s">
        <v>90</v>
      </c>
      <c r="B1" s="62" t="s">
        <v>8</v>
      </c>
      <c r="C1" s="109">
        <v>0.3</v>
      </c>
      <c r="D1" s="1"/>
      <c r="E1" s="1"/>
      <c r="F1" s="1"/>
      <c r="G1" s="1"/>
      <c r="H1" s="1"/>
      <c r="I1" s="1"/>
      <c r="J1" s="1"/>
      <c r="K1" s="32"/>
      <c r="L1" s="1"/>
      <c r="M1" s="1"/>
      <c r="N1" s="1"/>
    </row>
    <row r="2" spans="1:14" x14ac:dyDescent="0.3">
      <c r="A2" s="3" t="s">
        <v>17</v>
      </c>
      <c r="B2" s="2" t="s">
        <v>1</v>
      </c>
      <c r="C2" s="96">
        <v>40</v>
      </c>
      <c r="D2" s="96">
        <v>40</v>
      </c>
      <c r="E2" s="96">
        <v>40</v>
      </c>
      <c r="F2" s="96">
        <v>40</v>
      </c>
      <c r="G2" s="96">
        <v>40</v>
      </c>
      <c r="H2" s="96">
        <v>40</v>
      </c>
      <c r="I2" s="96">
        <v>40</v>
      </c>
      <c r="J2" s="96">
        <v>40</v>
      </c>
      <c r="K2" s="85">
        <v>40</v>
      </c>
      <c r="L2" s="96">
        <v>40</v>
      </c>
      <c r="M2" s="96">
        <v>40</v>
      </c>
      <c r="N2" s="96">
        <v>40</v>
      </c>
    </row>
    <row r="3" spans="1:14" x14ac:dyDescent="0.3">
      <c r="A3" s="3" t="s">
        <v>16</v>
      </c>
      <c r="B3" s="2" t="s">
        <v>2</v>
      </c>
      <c r="C3" s="96">
        <v>1.0129999999999999</v>
      </c>
      <c r="D3" s="96">
        <v>1.0129999999999999</v>
      </c>
      <c r="E3" s="96">
        <v>1.0129999999999999</v>
      </c>
      <c r="F3" s="96">
        <v>1.0129999999999999</v>
      </c>
      <c r="G3" s="96">
        <v>1.0129999999999999</v>
      </c>
      <c r="H3" s="96">
        <v>1.0129999999999999</v>
      </c>
      <c r="I3" s="96">
        <v>1.0129999999999999</v>
      </c>
      <c r="J3" s="96">
        <v>1.0129999999999999</v>
      </c>
      <c r="K3" s="85">
        <v>1.0129999999999999</v>
      </c>
      <c r="L3" s="96">
        <v>1.0129999999999999</v>
      </c>
      <c r="M3" s="96">
        <v>1.0129999999999999</v>
      </c>
      <c r="N3" s="96">
        <v>1.0129999999999999</v>
      </c>
    </row>
    <row r="4" spans="1:14" x14ac:dyDescent="0.3">
      <c r="A4" s="3" t="s">
        <v>3</v>
      </c>
      <c r="B4" s="2" t="s">
        <v>1</v>
      </c>
      <c r="C4" s="96">
        <v>40</v>
      </c>
      <c r="D4" s="96">
        <v>40</v>
      </c>
      <c r="E4" s="96">
        <v>40</v>
      </c>
      <c r="F4" s="96">
        <v>40</v>
      </c>
      <c r="G4" s="96">
        <v>40</v>
      </c>
      <c r="H4" s="96">
        <v>40</v>
      </c>
      <c r="I4" s="96">
        <v>40</v>
      </c>
      <c r="J4" s="96">
        <v>40</v>
      </c>
      <c r="K4" s="85">
        <v>40</v>
      </c>
      <c r="L4" s="96">
        <v>40</v>
      </c>
      <c r="M4" s="96">
        <v>40</v>
      </c>
      <c r="N4" s="96">
        <v>40</v>
      </c>
    </row>
    <row r="5" spans="1:14" x14ac:dyDescent="0.3">
      <c r="A5" s="3" t="s">
        <v>18</v>
      </c>
      <c r="B5" s="2" t="s">
        <v>2</v>
      </c>
      <c r="C5" s="96">
        <v>1.0129999999999999</v>
      </c>
      <c r="D5" s="96">
        <v>1.0129999999999999</v>
      </c>
      <c r="E5" s="96">
        <v>1.0129999999999999</v>
      </c>
      <c r="F5" s="96">
        <v>1.0129999999999999</v>
      </c>
      <c r="G5" s="96">
        <v>1.0129999999999999</v>
      </c>
      <c r="H5" s="96">
        <v>1.0129999999999999</v>
      </c>
      <c r="I5" s="96">
        <v>1.0129999999999999</v>
      </c>
      <c r="J5" s="96">
        <v>1.0129999999999999</v>
      </c>
      <c r="K5" s="85">
        <v>1.0129999999999999</v>
      </c>
      <c r="L5" s="96">
        <v>1.0129999999999999</v>
      </c>
      <c r="M5" s="96">
        <v>1.0129999999999999</v>
      </c>
      <c r="N5" s="96">
        <v>1.0129999999999999</v>
      </c>
    </row>
    <row r="6" spans="1:14" x14ac:dyDescent="0.3">
      <c r="A6" s="3" t="s">
        <v>4</v>
      </c>
      <c r="B6" s="2" t="s">
        <v>5</v>
      </c>
      <c r="C6" s="77">
        <f>'MEA 30%'!$C$6</f>
        <v>5050.3680000000004</v>
      </c>
      <c r="D6" s="77">
        <f>'MEA 30%'!$C$6</f>
        <v>5050.3680000000004</v>
      </c>
      <c r="E6" s="77">
        <f>'MEA 30%'!$C$6</f>
        <v>5050.3680000000004</v>
      </c>
      <c r="F6" s="77">
        <f>'MEA 30%'!$C$6</f>
        <v>5050.3680000000004</v>
      </c>
      <c r="G6" s="77">
        <f>'MEA 30%'!$C$6</f>
        <v>5050.3680000000004</v>
      </c>
      <c r="H6" s="77">
        <f>'MEA 30%'!$C$6</f>
        <v>5050.3680000000004</v>
      </c>
      <c r="I6" s="77">
        <f>'MEA 30%'!$C$6</f>
        <v>5050.3680000000004</v>
      </c>
      <c r="J6" s="77">
        <f>'MEA 30%'!$C$6</f>
        <v>5050.3680000000004</v>
      </c>
      <c r="K6" s="86">
        <f>'MEA 30%'!$C$6</f>
        <v>5050.3680000000004</v>
      </c>
      <c r="L6" s="77">
        <f>'MEA 30%'!$C$6</f>
        <v>5050.3680000000004</v>
      </c>
      <c r="M6" s="77">
        <f>'MEA 30%'!$C$6</f>
        <v>5050.3680000000004</v>
      </c>
      <c r="N6" s="77">
        <f>'MEA 30%'!$C$6</f>
        <v>5050.3680000000004</v>
      </c>
    </row>
    <row r="7" spans="1:14" x14ac:dyDescent="0.3">
      <c r="A7" s="6" t="s">
        <v>6</v>
      </c>
      <c r="B7" s="22" t="s">
        <v>5</v>
      </c>
      <c r="C7" s="31">
        <f>C6*C8</f>
        <v>2525.1840000000002</v>
      </c>
      <c r="D7" s="31">
        <f t="shared" ref="D7:N7" si="0">D6*D8</f>
        <v>3030.2208000000001</v>
      </c>
      <c r="E7" s="31">
        <f t="shared" si="0"/>
        <v>3535.2575999999999</v>
      </c>
      <c r="F7" s="31">
        <f t="shared" si="0"/>
        <v>4040.2944000000007</v>
      </c>
      <c r="G7" s="31">
        <f t="shared" si="0"/>
        <v>4545.3312000000005</v>
      </c>
      <c r="H7" s="31">
        <f t="shared" si="0"/>
        <v>5050.3680000000004</v>
      </c>
      <c r="I7" s="31">
        <f t="shared" si="0"/>
        <v>5555.4048000000012</v>
      </c>
      <c r="J7" s="31">
        <f t="shared" si="0"/>
        <v>6060.4416000000001</v>
      </c>
      <c r="K7" s="32">
        <f t="shared" si="0"/>
        <v>6351.3427968000005</v>
      </c>
      <c r="L7" s="31">
        <f t="shared" si="0"/>
        <v>6565.4784000000009</v>
      </c>
      <c r="M7" s="31">
        <f t="shared" si="0"/>
        <v>7070.5151999999998</v>
      </c>
      <c r="N7" s="31">
        <f t="shared" si="0"/>
        <v>7575.5520000000006</v>
      </c>
    </row>
    <row r="8" spans="1:14" x14ac:dyDescent="0.3">
      <c r="A8" s="3" t="s">
        <v>7</v>
      </c>
      <c r="B8" s="2" t="s">
        <v>29</v>
      </c>
      <c r="C8" s="78">
        <v>0.5</v>
      </c>
      <c r="D8" s="78">
        <v>0.6</v>
      </c>
      <c r="E8" s="78">
        <v>0.7</v>
      </c>
      <c r="F8" s="78">
        <v>0.8</v>
      </c>
      <c r="G8" s="78">
        <v>0.9</v>
      </c>
      <c r="H8" s="78">
        <v>1</v>
      </c>
      <c r="I8" s="78">
        <v>1.1000000000000001</v>
      </c>
      <c r="J8" s="78">
        <v>1.2</v>
      </c>
      <c r="K8" s="85">
        <v>1.2576000000000001</v>
      </c>
      <c r="L8" s="78">
        <v>1.3</v>
      </c>
      <c r="M8" s="78">
        <v>1.4</v>
      </c>
      <c r="N8" s="78">
        <v>1.5</v>
      </c>
    </row>
    <row r="9" spans="1:14" ht="18" x14ac:dyDescent="0.4">
      <c r="A9" s="3" t="s">
        <v>32</v>
      </c>
      <c r="B9" s="2" t="s">
        <v>5</v>
      </c>
      <c r="C9" s="1">
        <v>802.09379999999999</v>
      </c>
      <c r="D9" s="1">
        <v>802.09379999999999</v>
      </c>
      <c r="E9" s="1">
        <v>802.09379999999999</v>
      </c>
      <c r="F9" s="1">
        <v>802.09379999999999</v>
      </c>
      <c r="G9" s="1">
        <v>802.09379999999999</v>
      </c>
      <c r="H9" s="1">
        <v>802.09379999999999</v>
      </c>
      <c r="I9" s="1">
        <v>802.09379999999999</v>
      </c>
      <c r="J9" s="1">
        <v>802.09379999999999</v>
      </c>
      <c r="K9" s="32">
        <v>802.09379999999999</v>
      </c>
      <c r="L9" s="1">
        <v>802.09379999999999</v>
      </c>
      <c r="M9" s="1">
        <v>802.09379999999999</v>
      </c>
      <c r="N9" s="1">
        <v>802.09379999999999</v>
      </c>
    </row>
    <row r="10" spans="1:14" ht="18" x14ac:dyDescent="0.4">
      <c r="A10" s="3" t="s">
        <v>33</v>
      </c>
      <c r="B10" s="2" t="s">
        <v>5</v>
      </c>
      <c r="C10" s="1">
        <v>516.82479999999998</v>
      </c>
      <c r="D10" s="1">
        <v>456.88060000000002</v>
      </c>
      <c r="E10" s="1">
        <v>397.54680000000002</v>
      </c>
      <c r="F10" s="1">
        <v>338.85140000000001</v>
      </c>
      <c r="G10" s="1">
        <v>280.82350000000002</v>
      </c>
      <c r="H10" s="1">
        <v>223.5068</v>
      </c>
      <c r="I10" s="1">
        <v>166.98679999999999</v>
      </c>
      <c r="J10" s="1">
        <v>111.4609</v>
      </c>
      <c r="K10" s="32">
        <v>80.132300000000001</v>
      </c>
      <c r="L10" s="1">
        <v>57.59995</v>
      </c>
      <c r="M10" s="1">
        <v>11.315530000000001</v>
      </c>
      <c r="N10" s="1">
        <v>6.0018759999999997E-2</v>
      </c>
    </row>
    <row r="11" spans="1:14" x14ac:dyDescent="0.3">
      <c r="A11" s="3" t="s">
        <v>49</v>
      </c>
      <c r="B11" s="2" t="s">
        <v>5</v>
      </c>
      <c r="C11" s="1">
        <v>285.26900000000001</v>
      </c>
      <c r="D11" s="1">
        <v>345.2133</v>
      </c>
      <c r="E11" s="1">
        <v>404.54689999999999</v>
      </c>
      <c r="F11" s="1">
        <v>463.24239999999998</v>
      </c>
      <c r="G11" s="1">
        <v>521.27030000000002</v>
      </c>
      <c r="H11" s="1">
        <v>578.58699999999999</v>
      </c>
      <c r="I11" s="1">
        <v>635.1069</v>
      </c>
      <c r="J11" s="1">
        <v>690.63289999999995</v>
      </c>
      <c r="K11" s="32">
        <v>721.96159999999998</v>
      </c>
      <c r="L11" s="1">
        <v>744.49390000000005</v>
      </c>
      <c r="M11" s="1">
        <v>790.77829999999994</v>
      </c>
      <c r="N11" s="1">
        <v>802.03380000000004</v>
      </c>
    </row>
    <row r="12" spans="1:14" ht="18" x14ac:dyDescent="0.4">
      <c r="A12" s="3" t="s">
        <v>19</v>
      </c>
      <c r="B12" s="2" t="s">
        <v>8</v>
      </c>
      <c r="C12" s="30">
        <f>(C9-C10)/C9*100</f>
        <v>35.565541087588507</v>
      </c>
      <c r="D12" s="30">
        <f t="shared" ref="D12:N12" si="1">(D9-D10)/D9*100</f>
        <v>43.039006161124796</v>
      </c>
      <c r="E12" s="30">
        <f t="shared" si="1"/>
        <v>50.436370409545617</v>
      </c>
      <c r="F12" s="30">
        <f t="shared" si="1"/>
        <v>57.754142969313563</v>
      </c>
      <c r="G12" s="30">
        <f t="shared" si="1"/>
        <v>64.988695835823691</v>
      </c>
      <c r="H12" s="30">
        <f t="shared" si="1"/>
        <v>72.134580768483687</v>
      </c>
      <c r="I12" s="30">
        <f t="shared" si="1"/>
        <v>79.181138166134673</v>
      </c>
      <c r="J12" s="30">
        <f t="shared" si="1"/>
        <v>86.103757440837953</v>
      </c>
      <c r="K12" s="32">
        <f t="shared" si="1"/>
        <v>90.009609848623697</v>
      </c>
      <c r="L12" s="30">
        <f t="shared" si="1"/>
        <v>92.818801242448203</v>
      </c>
      <c r="M12" s="30">
        <f t="shared" si="1"/>
        <v>98.58925103273458</v>
      </c>
      <c r="N12" s="30">
        <f t="shared" si="1"/>
        <v>99.992517239255548</v>
      </c>
    </row>
    <row r="13" spans="1:14" x14ac:dyDescent="0.3">
      <c r="A13" s="3" t="s">
        <v>20</v>
      </c>
      <c r="B13" s="2" t="s">
        <v>1</v>
      </c>
      <c r="C13" s="1">
        <v>48.273820000000001</v>
      </c>
      <c r="D13" s="1">
        <v>51.009920000000001</v>
      </c>
      <c r="E13" s="1">
        <v>53.276870000000002</v>
      </c>
      <c r="F13" s="1">
        <v>55.188220000000001</v>
      </c>
      <c r="G13" s="1">
        <v>56.818089999999998</v>
      </c>
      <c r="H13" s="1">
        <v>58.214370000000002</v>
      </c>
      <c r="I13" s="1">
        <v>59.404350000000001</v>
      </c>
      <c r="J13" s="1">
        <v>60.393120000000003</v>
      </c>
      <c r="K13" s="32">
        <v>60.860720000000001</v>
      </c>
      <c r="L13" s="1">
        <v>61.146540000000002</v>
      </c>
      <c r="M13" s="1">
        <v>61.542659999999998</v>
      </c>
      <c r="N13" s="1">
        <v>59.129260000000002</v>
      </c>
    </row>
    <row r="14" spans="1:14" ht="18" x14ac:dyDescent="0.4">
      <c r="A14" s="3" t="s">
        <v>21</v>
      </c>
      <c r="B14" s="2" t="s">
        <v>1</v>
      </c>
      <c r="C14" s="1">
        <v>18.167100000000001</v>
      </c>
      <c r="D14" s="1">
        <v>19.823899999999998</v>
      </c>
      <c r="E14" s="1">
        <v>21.557169999999999</v>
      </c>
      <c r="F14" s="1">
        <v>23.30423</v>
      </c>
      <c r="G14" s="1">
        <v>25.03661</v>
      </c>
      <c r="H14" s="1">
        <v>26.748950000000001</v>
      </c>
      <c r="I14" s="1">
        <v>28.458749999999998</v>
      </c>
      <c r="J14" s="1">
        <v>30.221109999999999</v>
      </c>
      <c r="K14" s="32">
        <v>31.319369999999999</v>
      </c>
      <c r="L14" s="1">
        <v>32.232349999999997</v>
      </c>
      <c r="M14" s="1">
        <v>36.149450000000002</v>
      </c>
      <c r="N14" s="1">
        <v>45.909309999999998</v>
      </c>
    </row>
    <row r="15" spans="1:14" x14ac:dyDescent="0.3">
      <c r="A15" s="3" t="s">
        <v>91</v>
      </c>
      <c r="B15" s="2" t="s">
        <v>5</v>
      </c>
      <c r="C15" s="1">
        <v>1.785263E-3</v>
      </c>
      <c r="D15" s="1">
        <v>2.9596499999999999E-3</v>
      </c>
      <c r="E15" s="1">
        <v>4.5366779999999997E-3</v>
      </c>
      <c r="F15" s="1">
        <v>6.5941610000000003E-3</v>
      </c>
      <c r="G15" s="1">
        <v>9.2527010000000003E-3</v>
      </c>
      <c r="H15" s="1">
        <v>1.271999E-2</v>
      </c>
      <c r="I15" s="1">
        <v>1.740301E-2</v>
      </c>
      <c r="J15" s="1">
        <v>2.4275089999999999E-2</v>
      </c>
      <c r="K15" s="32">
        <v>3.0266990000000001E-2</v>
      </c>
      <c r="L15" s="1">
        <v>3.6792749999999999E-2</v>
      </c>
      <c r="M15" s="1">
        <v>8.3529290000000006E-2</v>
      </c>
      <c r="N15" s="1">
        <v>8.7873300000000001E-2</v>
      </c>
    </row>
    <row r="16" spans="1:14" ht="18" x14ac:dyDescent="0.4">
      <c r="A16" s="3" t="s">
        <v>22</v>
      </c>
      <c r="B16" s="2" t="s">
        <v>92</v>
      </c>
      <c r="C16" s="1">
        <f>6481.914/7205.394</f>
        <v>0.8995918890764335</v>
      </c>
      <c r="D16" s="1">
        <f>7843.975/8646.462</f>
        <v>0.90718897509756025</v>
      </c>
      <c r="E16" s="1">
        <f>9192.16/10087.53</f>
        <v>0.91123991700644258</v>
      </c>
      <c r="F16" s="1">
        <f>10525.84/11528.6</f>
        <v>0.91301979425081969</v>
      </c>
      <c r="G16" s="1">
        <f>11844.36/12969.65</f>
        <v>0.91323667176832068</v>
      </c>
      <c r="H16" s="1">
        <f>13146.72/14410.7</f>
        <v>0.91228878541639191</v>
      </c>
      <c r="I16" s="1">
        <f>14430.97/15851.74</f>
        <v>0.91037135355487786</v>
      </c>
      <c r="J16" s="1">
        <f>15692.64/17292.75</f>
        <v>0.90746931517543472</v>
      </c>
      <c r="K16" s="32">
        <f>16404.49/18122.76</f>
        <v>0.90518717899481116</v>
      </c>
      <c r="L16" s="1">
        <f>16916.47/18733.72</f>
        <v>0.90299577446444168</v>
      </c>
      <c r="M16" s="1">
        <f>0.06499949/0.07298041</f>
        <v>0.89064298213726123</v>
      </c>
      <c r="N16" s="1">
        <f>18223.9/21615.39</f>
        <v>0.84309836648795144</v>
      </c>
    </row>
    <row r="17" spans="1:14" ht="18" x14ac:dyDescent="0.4">
      <c r="A17" s="3" t="s">
        <v>23</v>
      </c>
      <c r="B17" s="2" t="s">
        <v>1</v>
      </c>
      <c r="C17" s="1">
        <v>65</v>
      </c>
      <c r="D17" s="1">
        <v>65</v>
      </c>
      <c r="E17" s="1">
        <v>65</v>
      </c>
      <c r="F17" s="1">
        <v>65</v>
      </c>
      <c r="G17" s="1">
        <v>65</v>
      </c>
      <c r="H17" s="1">
        <v>65</v>
      </c>
      <c r="I17" s="1">
        <v>65</v>
      </c>
      <c r="J17" s="1">
        <v>65</v>
      </c>
      <c r="K17" s="32">
        <v>65</v>
      </c>
      <c r="L17" s="1">
        <v>65</v>
      </c>
      <c r="M17" s="1">
        <v>65</v>
      </c>
      <c r="N17" s="1">
        <v>65</v>
      </c>
    </row>
    <row r="18" spans="1:14" ht="18" x14ac:dyDescent="0.4">
      <c r="A18" s="3" t="s">
        <v>24</v>
      </c>
      <c r="B18" s="2" t="s">
        <v>92</v>
      </c>
      <c r="C18" s="1">
        <v>0.21</v>
      </c>
      <c r="D18" s="1">
        <v>0.21</v>
      </c>
      <c r="E18" s="1">
        <v>0.21</v>
      </c>
      <c r="F18" s="1">
        <v>0.21</v>
      </c>
      <c r="G18" s="1">
        <v>0.21</v>
      </c>
      <c r="H18" s="1">
        <v>0.21</v>
      </c>
      <c r="I18" s="1">
        <v>0.21</v>
      </c>
      <c r="J18" s="1">
        <v>0.21</v>
      </c>
      <c r="K18" s="32">
        <v>0.21</v>
      </c>
      <c r="L18" s="1">
        <v>0.21</v>
      </c>
      <c r="M18" s="1">
        <v>0.21</v>
      </c>
      <c r="N18" s="1">
        <v>0.21</v>
      </c>
    </row>
    <row r="19" spans="1:14" x14ac:dyDescent="0.3">
      <c r="A19" s="3" t="s">
        <v>25</v>
      </c>
      <c r="B19" s="2" t="s">
        <v>10</v>
      </c>
      <c r="C19" s="30">
        <v>824.87800000000004</v>
      </c>
      <c r="D19" s="30">
        <v>1004.49</v>
      </c>
      <c r="E19" s="30">
        <v>1184.94</v>
      </c>
      <c r="F19" s="30">
        <v>1366.24</v>
      </c>
      <c r="G19" s="30">
        <v>1548.35</v>
      </c>
      <c r="H19" s="30">
        <v>1731.27</v>
      </c>
      <c r="I19" s="30">
        <v>1915.06</v>
      </c>
      <c r="J19" s="30">
        <v>2099.85</v>
      </c>
      <c r="K19" s="32">
        <v>2206.96</v>
      </c>
      <c r="L19" s="30">
        <v>2286.3200000000002</v>
      </c>
      <c r="M19" s="30">
        <v>2480.7800000000002</v>
      </c>
      <c r="N19" s="30">
        <v>2680.93</v>
      </c>
    </row>
    <row r="20" spans="1:14" ht="18" x14ac:dyDescent="0.4">
      <c r="A20" s="3" t="s">
        <v>26</v>
      </c>
      <c r="B20" s="2" t="s">
        <v>1</v>
      </c>
      <c r="C20" s="1">
        <v>113.9092</v>
      </c>
      <c r="D20" s="1">
        <v>114.2341</v>
      </c>
      <c r="E20" s="1">
        <v>114.4605</v>
      </c>
      <c r="F20" s="1">
        <v>114.6258</v>
      </c>
      <c r="G20" s="1">
        <v>114.75060000000001</v>
      </c>
      <c r="H20" s="1">
        <v>114.8472</v>
      </c>
      <c r="I20" s="1">
        <v>114.92319999999999</v>
      </c>
      <c r="J20" s="1">
        <v>114.9832</v>
      </c>
      <c r="K20" s="32">
        <v>115.0115</v>
      </c>
      <c r="L20" s="1">
        <v>115.02930000000001</v>
      </c>
      <c r="M20" s="1">
        <v>115.0479</v>
      </c>
      <c r="N20" s="1">
        <v>115.00190000000001</v>
      </c>
    </row>
    <row r="21" spans="1:14" x14ac:dyDescent="0.3">
      <c r="A21" s="3" t="s">
        <v>93</v>
      </c>
      <c r="B21" s="2" t="s">
        <v>5</v>
      </c>
      <c r="C21" s="1">
        <v>3.392666E-4</v>
      </c>
      <c r="D21" s="1">
        <v>4.0367000000000002E-4</v>
      </c>
      <c r="E21" s="1">
        <v>4.6618270000000001E-4</v>
      </c>
      <c r="F21" s="1">
        <v>5.2669730000000001E-4</v>
      </c>
      <c r="G21" s="1">
        <v>5.8527630000000002E-4</v>
      </c>
      <c r="H21" s="1">
        <v>6.4198879999999997E-4</v>
      </c>
      <c r="I21" s="1">
        <v>6.966346E-4</v>
      </c>
      <c r="J21" s="1">
        <v>7.4897630000000004E-4</v>
      </c>
      <c r="K21" s="32">
        <v>7.7762630000000001E-4</v>
      </c>
      <c r="L21" s="1">
        <v>7.9762249999999995E-4</v>
      </c>
      <c r="M21" s="1">
        <v>8.2842980000000005E-4</v>
      </c>
      <c r="N21" s="1">
        <v>0.74608609999999997</v>
      </c>
    </row>
    <row r="22" spans="1:14" x14ac:dyDescent="0.3">
      <c r="A22" s="3" t="s">
        <v>94</v>
      </c>
      <c r="B22" s="2" t="s">
        <v>5</v>
      </c>
      <c r="C22" s="1">
        <f>C21+C15</f>
        <v>2.1245296000000002E-3</v>
      </c>
      <c r="D22" s="1">
        <f t="shared" ref="D22:M22" si="2">D21+D15</f>
        <v>3.3633199999999999E-3</v>
      </c>
      <c r="E22" s="1">
        <f t="shared" si="2"/>
        <v>5.0028606999999994E-3</v>
      </c>
      <c r="F22" s="1">
        <f t="shared" si="2"/>
        <v>7.1208583000000004E-3</v>
      </c>
      <c r="G22" s="1">
        <f t="shared" si="2"/>
        <v>9.8379773E-3</v>
      </c>
      <c r="H22" s="1">
        <f t="shared" si="2"/>
        <v>1.33619788E-2</v>
      </c>
      <c r="I22" s="1">
        <f t="shared" si="2"/>
        <v>1.8099644599999999E-2</v>
      </c>
      <c r="J22" s="1">
        <f t="shared" si="2"/>
        <v>2.5024066299999998E-2</v>
      </c>
      <c r="K22" s="32">
        <f t="shared" si="2"/>
        <v>3.1044616300000001E-2</v>
      </c>
      <c r="L22" s="1">
        <f t="shared" si="2"/>
        <v>3.7590372499999997E-2</v>
      </c>
      <c r="M22" s="1">
        <f t="shared" si="2"/>
        <v>8.4357719800000008E-2</v>
      </c>
      <c r="N22" s="35">
        <v>7.3974370000000003E-8</v>
      </c>
    </row>
    <row r="23" spans="1:14" x14ac:dyDescent="0.3">
      <c r="A23" s="3" t="s">
        <v>95</v>
      </c>
      <c r="B23" s="2" t="s">
        <v>52</v>
      </c>
      <c r="C23" s="1">
        <f>C22/C11*1000</f>
        <v>7.4474604671380352E-3</v>
      </c>
      <c r="D23" s="1">
        <f t="shared" ref="D23:M23" si="3">D22/D11*1000</f>
        <v>9.7427300744206552E-3</v>
      </c>
      <c r="E23" s="1">
        <f t="shared" si="3"/>
        <v>1.2366577768856959E-2</v>
      </c>
      <c r="F23" s="1">
        <f t="shared" si="3"/>
        <v>1.5371775770093587E-2</v>
      </c>
      <c r="G23" s="1">
        <f t="shared" si="3"/>
        <v>1.8873082352859928E-2</v>
      </c>
      <c r="H23" s="1">
        <f t="shared" si="3"/>
        <v>2.3094156626401907E-2</v>
      </c>
      <c r="I23" s="1">
        <f t="shared" si="3"/>
        <v>2.8498579687923402E-2</v>
      </c>
      <c r="J23" s="1">
        <f t="shared" si="3"/>
        <v>3.6233527681638102E-2</v>
      </c>
      <c r="K23" s="32">
        <f t="shared" si="3"/>
        <v>4.3000370518321201E-2</v>
      </c>
      <c r="L23" s="1">
        <f t="shared" si="3"/>
        <v>5.0491175951878173E-2</v>
      </c>
      <c r="M23" s="1">
        <f t="shared" si="3"/>
        <v>0.10667682686790977</v>
      </c>
      <c r="N23" s="1">
        <v>1.6759139999999999E-2</v>
      </c>
    </row>
    <row r="24" spans="1:14" x14ac:dyDescent="0.3">
      <c r="A24" s="3" t="s">
        <v>34</v>
      </c>
      <c r="B24" s="2" t="s">
        <v>28</v>
      </c>
      <c r="C24" s="1">
        <f>C19/C11</f>
        <v>2.8915795266923503</v>
      </c>
      <c r="D24" s="1">
        <f t="shared" ref="D24:M24" si="4">D19/D11</f>
        <v>2.9097662227961667</v>
      </c>
      <c r="E24" s="1">
        <f t="shared" si="4"/>
        <v>2.9290547029281404</v>
      </c>
      <c r="F24" s="1">
        <f t="shared" si="4"/>
        <v>2.9492982507646106</v>
      </c>
      <c r="G24" s="1">
        <f t="shared" si="4"/>
        <v>2.9703399560650201</v>
      </c>
      <c r="H24" s="1">
        <f t="shared" si="4"/>
        <v>2.9922379866813462</v>
      </c>
      <c r="I24" s="1">
        <f t="shared" si="4"/>
        <v>3.015334898739094</v>
      </c>
      <c r="J24" s="1">
        <f t="shared" si="4"/>
        <v>3.0404720076324194</v>
      </c>
      <c r="K24" s="32">
        <f t="shared" si="4"/>
        <v>3.0568938846609019</v>
      </c>
      <c r="L24" s="1">
        <f t="shared" si="4"/>
        <v>3.0709721060172557</v>
      </c>
      <c r="M24" s="1">
        <f t="shared" si="4"/>
        <v>3.1371371723275669</v>
      </c>
      <c r="N24" s="1">
        <v>2.482761E-3</v>
      </c>
    </row>
    <row r="25" spans="1:14" x14ac:dyDescent="0.3">
      <c r="A25" s="150" t="s">
        <v>27</v>
      </c>
      <c r="B25" s="12" t="s">
        <v>36</v>
      </c>
      <c r="C25" s="1"/>
      <c r="D25" s="1"/>
      <c r="E25" s="1"/>
      <c r="F25" s="1"/>
      <c r="G25" s="1"/>
      <c r="H25" s="1"/>
      <c r="I25" s="1"/>
      <c r="J25" s="1"/>
      <c r="K25" s="32"/>
      <c r="L25" s="1"/>
      <c r="M25" s="1"/>
      <c r="N25" s="1">
        <v>0.2346714</v>
      </c>
    </row>
    <row r="26" spans="1:14" x14ac:dyDescent="0.3">
      <c r="A26" s="150"/>
      <c r="B26" s="2" t="s">
        <v>11</v>
      </c>
      <c r="C26" s="1">
        <v>0.88182340000000003</v>
      </c>
      <c r="D26" s="1">
        <v>0.88154929999999998</v>
      </c>
      <c r="E26" s="1">
        <v>0.88132969999999999</v>
      </c>
      <c r="F26" s="1">
        <v>0.88113739999999996</v>
      </c>
      <c r="G26" s="1">
        <v>0.8809515</v>
      </c>
      <c r="H26" s="1">
        <v>0.88075760000000003</v>
      </c>
      <c r="I26" s="1">
        <v>0.88055320000000004</v>
      </c>
      <c r="J26" s="1">
        <v>0.88031879999999996</v>
      </c>
      <c r="K26" s="32">
        <v>0.88015790000000005</v>
      </c>
      <c r="L26" s="1">
        <v>0.88000849999999997</v>
      </c>
      <c r="M26" s="1">
        <v>0.87925500000000001</v>
      </c>
      <c r="N26" s="35">
        <v>4.5881999999999998E-7</v>
      </c>
    </row>
    <row r="27" spans="1:14" x14ac:dyDescent="0.3">
      <c r="A27" s="150"/>
      <c r="B27" s="2" t="s">
        <v>12</v>
      </c>
      <c r="C27" s="35">
        <v>4.4408399999999999E-7</v>
      </c>
      <c r="D27" s="35">
        <v>3.580312E-7</v>
      </c>
      <c r="E27" s="35">
        <v>2.9955320000000002E-7</v>
      </c>
      <c r="F27" s="35">
        <v>2.5725120000000002E-7</v>
      </c>
      <c r="G27" s="35">
        <v>2.2524479999999999E-7</v>
      </c>
      <c r="H27" s="35">
        <v>2.001899E-7</v>
      </c>
      <c r="I27" s="35">
        <v>1.8004010000000001E-7</v>
      </c>
      <c r="J27" s="35">
        <v>1.6347010000000001E-7</v>
      </c>
      <c r="K27" s="36">
        <v>1.5517929999999999E-7</v>
      </c>
      <c r="L27" s="35">
        <v>1.4955140000000001E-7</v>
      </c>
      <c r="M27" s="35">
        <v>1.3724289999999999E-7</v>
      </c>
      <c r="N27" s="35">
        <v>1.2600199999999999E-7</v>
      </c>
    </row>
    <row r="28" spans="1:14" x14ac:dyDescent="0.3">
      <c r="A28" s="150"/>
      <c r="B28" s="2" t="s">
        <v>13</v>
      </c>
      <c r="C28" s="1">
        <v>1.424745E-2</v>
      </c>
      <c r="D28" s="1">
        <v>1.4202879999999999E-2</v>
      </c>
      <c r="E28" s="1">
        <v>1.4112410000000001E-2</v>
      </c>
      <c r="F28" s="1">
        <v>1.400384E-2</v>
      </c>
      <c r="G28" s="1">
        <v>1.3889729999999999E-2</v>
      </c>
      <c r="H28" s="1">
        <v>1.3775310000000001E-2</v>
      </c>
      <c r="I28" s="1">
        <v>1.3661360000000001E-2</v>
      </c>
      <c r="J28" s="1">
        <v>1.354465E-2</v>
      </c>
      <c r="K28" s="32">
        <v>1.347224E-2</v>
      </c>
      <c r="L28" s="1">
        <v>1.34118E-2</v>
      </c>
      <c r="M28" s="1">
        <v>1.315448E-2</v>
      </c>
      <c r="N28" s="1">
        <v>1.248252E-2</v>
      </c>
    </row>
    <row r="29" spans="1:14" x14ac:dyDescent="0.3">
      <c r="A29" s="150"/>
      <c r="B29" s="2" t="s">
        <v>14</v>
      </c>
      <c r="C29" s="1">
        <v>2.4915860000000001E-3</v>
      </c>
      <c r="D29" s="1">
        <v>2.4836789999999999E-3</v>
      </c>
      <c r="E29" s="1">
        <v>2.4670450000000002E-3</v>
      </c>
      <c r="F29" s="1">
        <v>2.4465469999999999E-3</v>
      </c>
      <c r="G29" s="1">
        <v>2.4244380000000001E-3</v>
      </c>
      <c r="H29" s="1">
        <v>2.4016950000000001E-3</v>
      </c>
      <c r="I29" s="1">
        <v>2.378467E-3</v>
      </c>
      <c r="J29" s="1">
        <v>2.3540810000000001E-3</v>
      </c>
      <c r="K29" s="32">
        <v>2.338658E-3</v>
      </c>
      <c r="L29" s="1">
        <v>2.3256399999999999E-3</v>
      </c>
      <c r="M29" s="1">
        <v>2.268609E-3</v>
      </c>
      <c r="N29" s="1">
        <v>2.1122570000000002E-3</v>
      </c>
    </row>
    <row r="30" spans="1:14" x14ac:dyDescent="0.3">
      <c r="A30" s="150"/>
      <c r="B30" s="2" t="s">
        <v>15</v>
      </c>
      <c r="C30" s="1">
        <v>0.10143580000000001</v>
      </c>
      <c r="D30" s="1">
        <v>0.1017624</v>
      </c>
      <c r="E30" s="1">
        <v>0.1020892</v>
      </c>
      <c r="F30" s="1">
        <v>0.1024106</v>
      </c>
      <c r="G30" s="1">
        <v>0.1027329</v>
      </c>
      <c r="H30" s="1">
        <v>0.1030638</v>
      </c>
      <c r="I30" s="1">
        <v>0.1034056</v>
      </c>
      <c r="J30" s="1">
        <v>0.103781</v>
      </c>
      <c r="K30" s="32">
        <v>0.10402980000000001</v>
      </c>
      <c r="L30" s="1">
        <v>0.10425280000000001</v>
      </c>
      <c r="M30" s="1">
        <v>0.1053205</v>
      </c>
      <c r="N30" s="1">
        <v>0.1124009</v>
      </c>
    </row>
    <row r="31" spans="1:14" x14ac:dyDescent="0.3">
      <c r="A31" s="150"/>
      <c r="B31" s="2" t="s">
        <v>90</v>
      </c>
      <c r="C31" s="35">
        <v>1.368111E-6</v>
      </c>
      <c r="D31" s="35">
        <v>1.3413219999999999E-6</v>
      </c>
      <c r="E31" s="35">
        <v>1.3197499999999999E-6</v>
      </c>
      <c r="F31" s="35">
        <v>1.301095E-6</v>
      </c>
      <c r="G31" s="35">
        <v>1.2844919999999999E-6</v>
      </c>
      <c r="H31" s="35">
        <v>1.269497E-6</v>
      </c>
      <c r="I31" s="35">
        <v>1.2554629999999999E-6</v>
      </c>
      <c r="J31" s="35">
        <v>1.2421309999999999E-6</v>
      </c>
      <c r="K31" s="36">
        <v>1.2343950000000001E-6</v>
      </c>
      <c r="L31" s="35">
        <v>1.228508E-6</v>
      </c>
      <c r="M31" s="35">
        <v>1.2053130000000001E-6</v>
      </c>
      <c r="N31" s="35">
        <v>1.282547E-6</v>
      </c>
    </row>
    <row r="32" spans="1:14" x14ac:dyDescent="0.3">
      <c r="A32" s="150" t="s">
        <v>27</v>
      </c>
      <c r="B32" s="12" t="s">
        <v>35</v>
      </c>
      <c r="C32" s="1"/>
      <c r="D32" s="1"/>
      <c r="E32" s="1"/>
      <c r="F32" s="1"/>
      <c r="G32" s="1"/>
      <c r="H32" s="1"/>
      <c r="I32" s="1"/>
      <c r="J32" s="1"/>
      <c r="K32" s="32"/>
      <c r="L32" s="1"/>
      <c r="M32" s="1"/>
      <c r="N32" s="1"/>
    </row>
    <row r="33" spans="1:14" x14ac:dyDescent="0.3">
      <c r="A33" s="150"/>
      <c r="B33" s="2" t="s">
        <v>11</v>
      </c>
      <c r="C33" s="1">
        <v>0.76319409999999999</v>
      </c>
      <c r="D33" s="1">
        <v>0.76266469999999997</v>
      </c>
      <c r="E33" s="1">
        <v>0.76220169999999998</v>
      </c>
      <c r="F33" s="1">
        <v>0.76177589999999995</v>
      </c>
      <c r="G33" s="1">
        <v>0.76135739999999996</v>
      </c>
      <c r="H33" s="1">
        <v>0.7609245</v>
      </c>
      <c r="I33" s="1">
        <v>0.76047220000000004</v>
      </c>
      <c r="J33" s="1">
        <v>0.75996399999999997</v>
      </c>
      <c r="K33" s="32">
        <v>0.75962070000000004</v>
      </c>
      <c r="L33" s="1">
        <v>0.7593065</v>
      </c>
      <c r="M33" s="1">
        <v>0.75775910000000002</v>
      </c>
      <c r="N33" s="1">
        <v>0.74608609999999997</v>
      </c>
    </row>
    <row r="34" spans="1:14" x14ac:dyDescent="0.3">
      <c r="A34" s="150"/>
      <c r="B34" s="2" t="s">
        <v>12</v>
      </c>
      <c r="C34" s="35">
        <v>2.6402740000000001E-7</v>
      </c>
      <c r="D34" s="35">
        <v>2.1278370000000001E-7</v>
      </c>
      <c r="E34" s="35">
        <v>1.779656E-7</v>
      </c>
      <c r="F34" s="35">
        <v>1.5278179999999999E-7</v>
      </c>
      <c r="G34" s="35">
        <v>1.337279E-7</v>
      </c>
      <c r="H34" s="35">
        <v>1.1881129999999999E-7</v>
      </c>
      <c r="I34" s="35">
        <v>1.068138E-7</v>
      </c>
      <c r="J34" s="35">
        <v>9.6944210000000005E-8</v>
      </c>
      <c r="K34" s="36">
        <v>9.2002670000000001E-8</v>
      </c>
      <c r="L34" s="35">
        <v>8.8644379999999998E-8</v>
      </c>
      <c r="M34" s="35">
        <v>8.1252519999999999E-8</v>
      </c>
      <c r="N34" s="35">
        <v>7.3974370000000003E-8</v>
      </c>
    </row>
    <row r="35" spans="1:14" x14ac:dyDescent="0.3">
      <c r="A35" s="150"/>
      <c r="B35" s="2" t="s">
        <v>13</v>
      </c>
      <c r="C35" s="1">
        <v>1.9371659999999999E-2</v>
      </c>
      <c r="D35" s="1">
        <v>1.930366E-2</v>
      </c>
      <c r="E35" s="1">
        <v>1.9173840000000001E-2</v>
      </c>
      <c r="F35" s="1">
        <v>1.9019850000000001E-2</v>
      </c>
      <c r="G35" s="1">
        <v>1.885848E-2</v>
      </c>
      <c r="H35" s="1">
        <v>1.8696609999999999E-2</v>
      </c>
      <c r="I35" s="1">
        <v>1.853523E-2</v>
      </c>
      <c r="J35" s="1">
        <v>1.8369489999999999E-2</v>
      </c>
      <c r="K35" s="32">
        <v>1.8266370000000001E-2</v>
      </c>
      <c r="L35" s="1">
        <v>1.817999E-2</v>
      </c>
      <c r="M35" s="1">
        <v>1.7810099999999999E-2</v>
      </c>
      <c r="N35" s="1">
        <v>1.6759139999999999E-2</v>
      </c>
    </row>
    <row r="36" spans="1:14" x14ac:dyDescent="0.3">
      <c r="A36" s="150"/>
      <c r="B36" s="2" t="s">
        <v>14</v>
      </c>
      <c r="C36" s="1">
        <v>2.965816E-3</v>
      </c>
      <c r="D36" s="1">
        <v>2.9552720000000001E-3</v>
      </c>
      <c r="E36" s="1">
        <v>2.9344290000000001E-3</v>
      </c>
      <c r="F36" s="1">
        <v>2.9090560000000001E-3</v>
      </c>
      <c r="G36" s="1">
        <v>2.8817920000000002E-3</v>
      </c>
      <c r="H36" s="1">
        <v>2.853763E-3</v>
      </c>
      <c r="I36" s="1">
        <v>2.8251389999999999E-3</v>
      </c>
      <c r="J36" s="1">
        <v>2.795049E-3</v>
      </c>
      <c r="K36" s="32">
        <v>2.775989E-3</v>
      </c>
      <c r="L36" s="1">
        <v>2.7598639999999999E-3</v>
      </c>
      <c r="M36" s="1">
        <v>2.6890009999999999E-3</v>
      </c>
      <c r="N36" s="1">
        <v>2.482761E-3</v>
      </c>
    </row>
    <row r="37" spans="1:14" x14ac:dyDescent="0.3">
      <c r="A37" s="150"/>
      <c r="B37" s="2" t="s">
        <v>15</v>
      </c>
      <c r="C37" s="1">
        <v>0.21446760000000001</v>
      </c>
      <c r="D37" s="1">
        <v>0.21507580000000001</v>
      </c>
      <c r="E37" s="1">
        <v>0.2156893</v>
      </c>
      <c r="F37" s="1">
        <v>0.2162946</v>
      </c>
      <c r="G37" s="1">
        <v>0.21690180000000001</v>
      </c>
      <c r="H37" s="1">
        <v>0.21752460000000001</v>
      </c>
      <c r="I37" s="1">
        <v>0.2181669</v>
      </c>
      <c r="J37" s="1">
        <v>0.21887090000000001</v>
      </c>
      <c r="K37" s="32">
        <v>0.21933649999999999</v>
      </c>
      <c r="L37" s="1">
        <v>0.21975310000000001</v>
      </c>
      <c r="M37" s="1">
        <v>0.2217412</v>
      </c>
      <c r="N37" s="1">
        <v>0.2346714</v>
      </c>
    </row>
    <row r="38" spans="1:14" x14ac:dyDescent="0.3">
      <c r="A38" s="150"/>
      <c r="B38" s="2" t="s">
        <v>90</v>
      </c>
      <c r="C38" s="35">
        <v>4.9564479999999995E-7</v>
      </c>
      <c r="D38" s="35">
        <v>4.8575340000000002E-7</v>
      </c>
      <c r="E38" s="35">
        <v>4.7777009999999996E-7</v>
      </c>
      <c r="F38" s="35">
        <v>4.7085629999999999E-7</v>
      </c>
      <c r="G38" s="35">
        <v>4.6469070000000001E-7</v>
      </c>
      <c r="H38" s="35">
        <v>4.5910570000000001E-7</v>
      </c>
      <c r="I38" s="35">
        <v>4.5386569999999999E-7</v>
      </c>
      <c r="J38" s="35">
        <v>4.488655E-7</v>
      </c>
      <c r="K38" s="36">
        <v>4.4594980000000001E-7</v>
      </c>
      <c r="L38" s="35">
        <v>4.4371489999999998E-7</v>
      </c>
      <c r="M38" s="35">
        <v>4.3482249999999999E-7</v>
      </c>
      <c r="N38" s="35">
        <v>4.5881999999999998E-7</v>
      </c>
    </row>
  </sheetData>
  <mergeCells count="2">
    <mergeCell ref="A25:A31"/>
    <mergeCell ref="A32:A38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8"/>
  <sheetViews>
    <sheetView zoomScale="80" zoomScaleNormal="80" workbookViewId="0">
      <pane xSplit="1" topLeftCell="H1" activePane="topRight" state="frozen"/>
      <selection pane="topRight" activeCell="K20" sqref="K20"/>
    </sheetView>
  </sheetViews>
  <sheetFormatPr defaultColWidth="11.19921875" defaultRowHeight="15.6" x14ac:dyDescent="0.3"/>
  <cols>
    <col min="1" max="1" width="59.3984375" customWidth="1"/>
    <col min="2" max="2" width="12.19921875" customWidth="1"/>
    <col min="3" max="3" width="11.19921875" customWidth="1"/>
    <col min="4" max="4" width="11.796875" style="8" customWidth="1"/>
    <col min="11" max="11" width="11.19921875" style="24"/>
    <col min="13" max="13" width="19.59765625" bestFit="1" customWidth="1"/>
    <col min="14" max="14" width="13.69921875" bestFit="1" customWidth="1"/>
  </cols>
  <sheetData>
    <row r="1" spans="1:14" x14ac:dyDescent="0.3">
      <c r="A1" s="61" t="s">
        <v>0</v>
      </c>
      <c r="B1" s="62" t="s">
        <v>8</v>
      </c>
      <c r="C1" s="66">
        <v>0.3</v>
      </c>
      <c r="D1" s="10"/>
    </row>
    <row r="2" spans="1:14" x14ac:dyDescent="0.3">
      <c r="A2" s="3" t="s">
        <v>17</v>
      </c>
      <c r="B2" s="2" t="s">
        <v>1</v>
      </c>
      <c r="C2" s="2">
        <v>40</v>
      </c>
      <c r="D2" s="2">
        <v>40</v>
      </c>
      <c r="E2" s="2">
        <v>40</v>
      </c>
      <c r="F2" s="2">
        <v>40</v>
      </c>
      <c r="G2" s="2">
        <v>40</v>
      </c>
      <c r="H2" s="2">
        <v>40</v>
      </c>
      <c r="I2" s="2">
        <v>40</v>
      </c>
      <c r="J2" s="2">
        <v>40</v>
      </c>
      <c r="K2" s="25">
        <v>40</v>
      </c>
      <c r="L2" s="37">
        <v>40</v>
      </c>
      <c r="M2" s="37">
        <v>40</v>
      </c>
      <c r="N2" s="37">
        <v>40</v>
      </c>
    </row>
    <row r="3" spans="1:14" x14ac:dyDescent="0.3">
      <c r="A3" s="3" t="s">
        <v>16</v>
      </c>
      <c r="B3" s="2" t="s">
        <v>2</v>
      </c>
      <c r="C3" s="2">
        <v>1.0129999999999999</v>
      </c>
      <c r="D3" s="2">
        <v>1.0129999999999999</v>
      </c>
      <c r="E3" s="2">
        <v>1.0129999999999999</v>
      </c>
      <c r="F3" s="2">
        <v>1.0129999999999999</v>
      </c>
      <c r="G3" s="2">
        <v>1.0129999999999999</v>
      </c>
      <c r="H3" s="2">
        <v>1.0129999999999999</v>
      </c>
      <c r="I3" s="2">
        <v>1.0129999999999999</v>
      </c>
      <c r="J3" s="2">
        <v>1.0129999999999999</v>
      </c>
      <c r="K3" s="25">
        <v>1.0129999999999999</v>
      </c>
      <c r="L3" s="2">
        <v>1.0129999999999999</v>
      </c>
      <c r="M3" s="2">
        <v>1.0129999999999999</v>
      </c>
      <c r="N3" s="2">
        <v>1.0129999999999999</v>
      </c>
    </row>
    <row r="4" spans="1:14" x14ac:dyDescent="0.3">
      <c r="A4" s="3" t="s">
        <v>3</v>
      </c>
      <c r="B4" s="2" t="s">
        <v>1</v>
      </c>
      <c r="C4" s="2">
        <v>40</v>
      </c>
      <c r="D4" s="2">
        <v>40</v>
      </c>
      <c r="E4" s="2">
        <v>40</v>
      </c>
      <c r="F4" s="2">
        <v>40</v>
      </c>
      <c r="G4" s="2">
        <v>40</v>
      </c>
      <c r="H4" s="2">
        <v>40</v>
      </c>
      <c r="I4" s="2">
        <v>40</v>
      </c>
      <c r="J4" s="2">
        <v>40</v>
      </c>
      <c r="K4" s="25">
        <v>40</v>
      </c>
      <c r="L4" s="2">
        <v>40</v>
      </c>
      <c r="M4" s="2">
        <v>40</v>
      </c>
      <c r="N4" s="2">
        <v>40</v>
      </c>
    </row>
    <row r="5" spans="1:14" x14ac:dyDescent="0.3">
      <c r="A5" s="3" t="s">
        <v>18</v>
      </c>
      <c r="B5" s="2" t="s">
        <v>2</v>
      </c>
      <c r="C5" s="2">
        <v>1.0129999999999999</v>
      </c>
      <c r="D5" s="2">
        <v>1.0129999999999999</v>
      </c>
      <c r="E5" s="2">
        <v>1.0129999999999999</v>
      </c>
      <c r="F5" s="2">
        <v>1.0129999999999999</v>
      </c>
      <c r="G5" s="2">
        <v>1.0129999999999999</v>
      </c>
      <c r="H5" s="2">
        <v>1.0129999999999999</v>
      </c>
      <c r="I5" s="2">
        <v>1.0129999999999999</v>
      </c>
      <c r="J5" s="2">
        <v>1.0129999999999999</v>
      </c>
      <c r="K5" s="25">
        <v>1.0129999999999999</v>
      </c>
      <c r="L5" s="2">
        <v>1.0129999999999999</v>
      </c>
      <c r="M5" s="2">
        <v>1.0129999999999999</v>
      </c>
      <c r="N5" s="2">
        <v>1.0129999999999999</v>
      </c>
    </row>
    <row r="6" spans="1:14" x14ac:dyDescent="0.3">
      <c r="A6" s="3" t="s">
        <v>4</v>
      </c>
      <c r="B6" s="2" t="s">
        <v>5</v>
      </c>
      <c r="C6" s="5">
        <f>'Compozitie gaze de ardere'!E20</f>
        <v>5050.3680000000004</v>
      </c>
      <c r="D6" s="5">
        <f t="shared" ref="D6:N6" si="0">C6</f>
        <v>5050.3680000000004</v>
      </c>
      <c r="E6" s="5">
        <f t="shared" si="0"/>
        <v>5050.3680000000004</v>
      </c>
      <c r="F6" s="5">
        <f t="shared" si="0"/>
        <v>5050.3680000000004</v>
      </c>
      <c r="G6" s="5">
        <f t="shared" si="0"/>
        <v>5050.3680000000004</v>
      </c>
      <c r="H6" s="5">
        <f t="shared" si="0"/>
        <v>5050.3680000000004</v>
      </c>
      <c r="I6" s="5">
        <f t="shared" si="0"/>
        <v>5050.3680000000004</v>
      </c>
      <c r="J6" s="5">
        <f t="shared" si="0"/>
        <v>5050.3680000000004</v>
      </c>
      <c r="K6" s="26">
        <f t="shared" si="0"/>
        <v>5050.3680000000004</v>
      </c>
      <c r="L6" s="5">
        <f t="shared" si="0"/>
        <v>5050.3680000000004</v>
      </c>
      <c r="M6" s="5">
        <f t="shared" si="0"/>
        <v>5050.3680000000004</v>
      </c>
      <c r="N6" s="5">
        <f t="shared" si="0"/>
        <v>5050.3680000000004</v>
      </c>
    </row>
    <row r="7" spans="1:14" x14ac:dyDescent="0.3">
      <c r="A7" s="6" t="s">
        <v>6</v>
      </c>
      <c r="B7" s="2" t="s">
        <v>5</v>
      </c>
      <c r="C7" s="5">
        <f t="shared" ref="C7:N7" si="1">C8*$C$6</f>
        <v>2525.1840000000002</v>
      </c>
      <c r="D7" s="5">
        <f t="shared" si="1"/>
        <v>3030.2208000000001</v>
      </c>
      <c r="E7" s="5">
        <f t="shared" si="1"/>
        <v>3535.2575999999999</v>
      </c>
      <c r="F7" s="5">
        <f t="shared" si="1"/>
        <v>4040.2944000000007</v>
      </c>
      <c r="G7" s="5">
        <f t="shared" si="1"/>
        <v>4545.3312000000005</v>
      </c>
      <c r="H7" s="5">
        <f t="shared" si="1"/>
        <v>5050.3680000000004</v>
      </c>
      <c r="I7" s="5">
        <f t="shared" si="1"/>
        <v>5555.4048000000012</v>
      </c>
      <c r="J7" s="5">
        <f t="shared" si="1"/>
        <v>6060.4416000000001</v>
      </c>
      <c r="K7" s="26">
        <f t="shared" si="1"/>
        <v>6208.9224192000011</v>
      </c>
      <c r="L7" s="5">
        <f t="shared" si="1"/>
        <v>6565.4784000000009</v>
      </c>
      <c r="M7" s="5">
        <f t="shared" si="1"/>
        <v>7070.5151999999998</v>
      </c>
      <c r="N7" s="5">
        <f t="shared" si="1"/>
        <v>7575.5520000000006</v>
      </c>
    </row>
    <row r="8" spans="1:14" x14ac:dyDescent="0.3">
      <c r="A8" s="3" t="s">
        <v>7</v>
      </c>
      <c r="B8" s="2" t="s">
        <v>29</v>
      </c>
      <c r="C8" s="20">
        <v>0.5</v>
      </c>
      <c r="D8" s="29">
        <v>0.6</v>
      </c>
      <c r="E8" s="30">
        <v>0.7</v>
      </c>
      <c r="F8" s="30">
        <v>0.8</v>
      </c>
      <c r="G8" s="30">
        <v>0.9</v>
      </c>
      <c r="H8" s="30">
        <v>1</v>
      </c>
      <c r="I8" s="30">
        <v>1.1000000000000001</v>
      </c>
      <c r="J8" s="30">
        <v>1.2</v>
      </c>
      <c r="K8" s="32">
        <v>1.2294</v>
      </c>
      <c r="L8" s="29">
        <v>1.3</v>
      </c>
      <c r="M8" s="30">
        <v>1.4</v>
      </c>
      <c r="N8" s="30">
        <v>1.5</v>
      </c>
    </row>
    <row r="9" spans="1:14" ht="18" x14ac:dyDescent="0.4">
      <c r="A9" s="3" t="s">
        <v>32</v>
      </c>
      <c r="B9" s="2" t="s">
        <v>5</v>
      </c>
      <c r="C9" s="5">
        <v>802.09379999999999</v>
      </c>
      <c r="D9" s="5">
        <v>802.09379999999999</v>
      </c>
      <c r="E9" s="5">
        <v>802.09379999999999</v>
      </c>
      <c r="F9" s="5">
        <v>802.09379999999999</v>
      </c>
      <c r="G9" s="5">
        <v>802.09379999999999</v>
      </c>
      <c r="H9" s="5">
        <v>802.09379999999999</v>
      </c>
      <c r="I9" s="5">
        <v>802.09379999999999</v>
      </c>
      <c r="J9" s="5">
        <v>802.09379999999999</v>
      </c>
      <c r="K9" s="26">
        <v>802.09379999999999</v>
      </c>
      <c r="L9" s="5">
        <v>802.09379999999999</v>
      </c>
      <c r="M9" s="5">
        <v>802.09379999999999</v>
      </c>
      <c r="N9" s="16">
        <v>802.09379999999999</v>
      </c>
    </row>
    <row r="10" spans="1:14" ht="18" x14ac:dyDescent="0.4">
      <c r="A10" s="3" t="s">
        <v>33</v>
      </c>
      <c r="B10" s="2" t="s">
        <v>5</v>
      </c>
      <c r="C10" s="16">
        <v>499.0924</v>
      </c>
      <c r="D10" s="5">
        <v>439.65309999999999</v>
      </c>
      <c r="E10" s="1">
        <v>380.79680000000002</v>
      </c>
      <c r="F10" s="38">
        <v>322.55689999999998</v>
      </c>
      <c r="G10" s="38">
        <v>264.90179999999998</v>
      </c>
      <c r="H10" s="1">
        <v>207.91460000000001</v>
      </c>
      <c r="I10" s="1">
        <v>151.64699999999999</v>
      </c>
      <c r="J10" s="1">
        <v>96.253330000000005</v>
      </c>
      <c r="K10" s="32">
        <v>80.189520000000002</v>
      </c>
      <c r="L10" s="1">
        <v>42.297490000000003</v>
      </c>
      <c r="M10" s="1">
        <v>5.994741E-2</v>
      </c>
      <c r="N10" s="39">
        <v>6.2517790000000002E-9</v>
      </c>
    </row>
    <row r="11" spans="1:14" s="14" customFormat="1" x14ac:dyDescent="0.3">
      <c r="A11" s="3" t="s">
        <v>49</v>
      </c>
      <c r="B11" s="2" t="s">
        <v>5</v>
      </c>
      <c r="C11" s="18">
        <f>C9-C10</f>
        <v>303.00139999999999</v>
      </c>
      <c r="D11" s="5">
        <v>362.44069999999999</v>
      </c>
      <c r="E11" s="1">
        <v>421.29700000000003</v>
      </c>
      <c r="F11" s="1">
        <v>479.5369</v>
      </c>
      <c r="G11" s="1">
        <v>537.19219999999996</v>
      </c>
      <c r="H11" s="1">
        <v>594.17920000000004</v>
      </c>
      <c r="I11" s="1">
        <v>650.44680000000005</v>
      </c>
      <c r="J11" s="1">
        <v>705.84079999999994</v>
      </c>
      <c r="K11" s="32">
        <v>721.90430000000003</v>
      </c>
      <c r="L11" s="1">
        <v>759.79629999999997</v>
      </c>
      <c r="M11" s="1">
        <v>802.03390000000002</v>
      </c>
      <c r="N11" s="1">
        <v>802.09370000000001</v>
      </c>
    </row>
    <row r="12" spans="1:14" ht="18" x14ac:dyDescent="0.4">
      <c r="A12" s="3" t="s">
        <v>19</v>
      </c>
      <c r="B12" s="2" t="s">
        <v>8</v>
      </c>
      <c r="C12" s="21">
        <f t="shared" ref="C12:N12" si="2">(C9-C10)/C9*100</f>
        <v>37.776304965828182</v>
      </c>
      <c r="D12" s="20">
        <f t="shared" si="2"/>
        <v>45.186822289363164</v>
      </c>
      <c r="E12" s="20">
        <f t="shared" si="2"/>
        <v>52.524654847101417</v>
      </c>
      <c r="F12" s="20">
        <f t="shared" si="2"/>
        <v>59.785638537537636</v>
      </c>
      <c r="G12" s="20">
        <f t="shared" si="2"/>
        <v>66.973713049521137</v>
      </c>
      <c r="H12" s="20">
        <f t="shared" si="2"/>
        <v>74.078517998767737</v>
      </c>
      <c r="I12" s="20">
        <f t="shared" si="2"/>
        <v>81.093607755102951</v>
      </c>
      <c r="J12" s="20">
        <f t="shared" si="2"/>
        <v>87.99974142675083</v>
      </c>
      <c r="K12" s="26">
        <f t="shared" si="2"/>
        <v>90.002476019637598</v>
      </c>
      <c r="L12" s="20">
        <f t="shared" si="2"/>
        <v>94.726615515541951</v>
      </c>
      <c r="M12" s="20">
        <f t="shared" si="2"/>
        <v>99.992526134723903</v>
      </c>
      <c r="N12" s="20">
        <f t="shared" si="2"/>
        <v>99.999999999220563</v>
      </c>
    </row>
    <row r="13" spans="1:14" x14ac:dyDescent="0.3">
      <c r="A13" s="3" t="s">
        <v>20</v>
      </c>
      <c r="B13" s="2" t="s">
        <v>1</v>
      </c>
      <c r="C13" s="5">
        <v>48.759790000000002</v>
      </c>
      <c r="D13" s="5">
        <v>51.690770000000001</v>
      </c>
      <c r="E13" s="1">
        <v>54.151330000000002</v>
      </c>
      <c r="F13" s="1">
        <v>56.249519999999997</v>
      </c>
      <c r="G13" s="1">
        <v>58.059919999999998</v>
      </c>
      <c r="H13" s="1">
        <v>59.630560000000003</v>
      </c>
      <c r="I13" s="40">
        <v>60.989400000000003</v>
      </c>
      <c r="J13" s="1">
        <v>62.137810000000002</v>
      </c>
      <c r="K13" s="32">
        <v>62.429189999999998</v>
      </c>
      <c r="L13" s="1">
        <v>62.998100000000001</v>
      </c>
      <c r="M13" s="1">
        <v>61.956409999999998</v>
      </c>
      <c r="N13" s="41">
        <v>57.881219999999999</v>
      </c>
    </row>
    <row r="14" spans="1:14" ht="18" x14ac:dyDescent="0.4">
      <c r="A14" s="3" t="s">
        <v>21</v>
      </c>
      <c r="B14" s="2" t="s">
        <v>1</v>
      </c>
      <c r="C14" s="5">
        <v>19.430230000000002</v>
      </c>
      <c r="D14" s="5">
        <v>20.846039999999999</v>
      </c>
      <c r="E14" s="1">
        <v>22.376390000000001</v>
      </c>
      <c r="F14" s="1">
        <v>23.955539999999999</v>
      </c>
      <c r="G14" s="1">
        <v>25.551950000000001</v>
      </c>
      <c r="H14" s="1">
        <v>27.148430000000001</v>
      </c>
      <c r="I14" s="1">
        <v>28.757480000000001</v>
      </c>
      <c r="J14" s="1">
        <v>30.41883</v>
      </c>
      <c r="K14" s="32">
        <v>30.932680000000001</v>
      </c>
      <c r="L14" s="1">
        <v>32.292099999999998</v>
      </c>
      <c r="M14" s="1">
        <v>37.409999999999997</v>
      </c>
      <c r="N14" s="41">
        <v>50.136409999999998</v>
      </c>
    </row>
    <row r="15" spans="1:14" ht="18" customHeight="1" x14ac:dyDescent="0.3">
      <c r="A15" s="3" t="s">
        <v>30</v>
      </c>
      <c r="B15" s="2" t="s">
        <v>5</v>
      </c>
      <c r="C15" s="5">
        <v>0.31200919999999999</v>
      </c>
      <c r="D15" s="42">
        <f>0.467</f>
        <v>0.46700000000000003</v>
      </c>
      <c r="E15" s="1">
        <v>0.66260580000000002</v>
      </c>
      <c r="F15" s="40">
        <v>0.90327780000000002</v>
      </c>
      <c r="G15" s="1">
        <v>1.1999899999999999</v>
      </c>
      <c r="H15" s="1">
        <v>1.57097</v>
      </c>
      <c r="I15" s="1">
        <v>2.0521120000000002</v>
      </c>
      <c r="J15" s="1">
        <v>2.7280959999999999</v>
      </c>
      <c r="K15" s="32">
        <v>2.9925890000000002</v>
      </c>
      <c r="L15" s="1">
        <v>3.8848760000000002</v>
      </c>
      <c r="M15" s="1">
        <v>8.5868280000000006</v>
      </c>
      <c r="N15" s="41">
        <v>6.7508569999999999</v>
      </c>
    </row>
    <row r="16" spans="1:14" ht="18" x14ac:dyDescent="0.4">
      <c r="A16" s="3" t="s">
        <v>22</v>
      </c>
      <c r="B16" s="2" t="s">
        <v>9</v>
      </c>
      <c r="C16" s="5">
        <f>6.884832/12.39675</f>
        <v>0.55537394881723035</v>
      </c>
      <c r="D16" s="4">
        <f>0.06803786/0.1228881</f>
        <v>0.55365702618886614</v>
      </c>
      <c r="E16" s="1">
        <f>0.06754071/0.1224256</f>
        <v>0.5516878005907262</v>
      </c>
      <c r="F16" s="1">
        <f>0.06703977/0.1219957</f>
        <v>0.54952568000347557</v>
      </c>
      <c r="G16" s="1">
        <f>0.06653986/0.1215851</f>
        <v>0.54726985461211941</v>
      </c>
      <c r="H16" s="1">
        <f>0.06603114/0.1211851</f>
        <v>0.54487837201108058</v>
      </c>
      <c r="I16" s="1">
        <f>14779.52/27250.47</f>
        <v>0.54235835198438775</v>
      </c>
      <c r="J16" s="1">
        <f>0.06495646/0.1203685</f>
        <v>0.53964666835592356</v>
      </c>
      <c r="K16" s="32">
        <f>0.06478228/0.1202374</f>
        <v>0.53878643417106487</v>
      </c>
      <c r="L16" s="1">
        <f>17264.18/32181.24</f>
        <v>0.53646720884589905</v>
      </c>
      <c r="M16" s="1">
        <f>18223.9/34584.66</f>
        <v>0.52693593055418209</v>
      </c>
      <c r="N16" s="1">
        <f>18225.26/37095.05</f>
        <v>0.49131245273965118</v>
      </c>
    </row>
    <row r="17" spans="1:14" ht="18" x14ac:dyDescent="0.4">
      <c r="A17" s="3" t="s">
        <v>23</v>
      </c>
      <c r="B17" s="2" t="s">
        <v>1</v>
      </c>
      <c r="C17" s="2">
        <v>65</v>
      </c>
      <c r="D17" s="2">
        <v>65</v>
      </c>
      <c r="E17" s="2">
        <v>65</v>
      </c>
      <c r="F17" s="37">
        <v>65</v>
      </c>
      <c r="G17" s="37">
        <v>65</v>
      </c>
      <c r="H17" s="37">
        <v>65</v>
      </c>
      <c r="I17" s="37">
        <v>65</v>
      </c>
      <c r="J17" s="37">
        <v>65</v>
      </c>
      <c r="K17" s="25">
        <v>65</v>
      </c>
      <c r="L17" s="37">
        <v>65</v>
      </c>
      <c r="M17" s="37">
        <v>65</v>
      </c>
      <c r="N17" s="43">
        <v>65</v>
      </c>
    </row>
    <row r="18" spans="1:14" ht="18" x14ac:dyDescent="0.4">
      <c r="A18" s="3" t="s">
        <v>24</v>
      </c>
      <c r="B18" s="2" t="s">
        <v>9</v>
      </c>
      <c r="C18" s="2">
        <v>0.21</v>
      </c>
      <c r="D18" s="44">
        <f>0.02731188/0.1300565</f>
        <v>0.21000011533448926</v>
      </c>
      <c r="E18" s="1">
        <f>3643.742/17351.16</f>
        <v>0.20999990778714508</v>
      </c>
      <c r="F18" s="1">
        <f>4163.769/19827.47</f>
        <v>0.21000001513052347</v>
      </c>
      <c r="G18" s="1">
        <f>0.02697803/0.1284668</f>
        <v>0.21000001556822465</v>
      </c>
      <c r="H18" s="1">
        <f>5203.202/24777.15</f>
        <v>0.21000002017988348</v>
      </c>
      <c r="I18" s="1">
        <f>5722.4/27249.52</f>
        <v>0.2100000293583153</v>
      </c>
      <c r="J18" s="1">
        <f>6240.936/29718.74</f>
        <v>0.21000002018928121</v>
      </c>
      <c r="K18" s="32">
        <f>6392.646/30441.17</f>
        <v>0.21000000985507455</v>
      </c>
      <c r="L18" s="1">
        <f>6757.816/32180.08</f>
        <v>0.20999997513990021</v>
      </c>
      <c r="M18" s="45">
        <f>7262.493/34583.3</f>
        <v>0.21</v>
      </c>
      <c r="N18" s="1">
        <f>7789.537/37093.04</f>
        <v>0.20999996225707032</v>
      </c>
    </row>
    <row r="19" spans="1:14" x14ac:dyDescent="0.3">
      <c r="A19" s="3" t="s">
        <v>25</v>
      </c>
      <c r="B19" s="2" t="s">
        <v>10</v>
      </c>
      <c r="C19" s="29">
        <v>887.19399999999996</v>
      </c>
      <c r="D19" s="29">
        <v>1066.96</v>
      </c>
      <c r="E19" s="30">
        <v>1247.26</v>
      </c>
      <c r="F19" s="29">
        <v>1427.63</v>
      </c>
      <c r="G19" s="29">
        <v>1608.7</v>
      </c>
      <c r="H19" s="29">
        <v>1789.68</v>
      </c>
      <c r="I19" s="29">
        <v>1969.54</v>
      </c>
      <c r="J19" s="29">
        <v>2147.85</v>
      </c>
      <c r="K19" s="29">
        <v>2199.9</v>
      </c>
      <c r="L19" s="29">
        <v>2324.2399999999998</v>
      </c>
      <c r="M19" s="29">
        <v>2491.12</v>
      </c>
      <c r="N19" s="108">
        <v>2617.61</v>
      </c>
    </row>
    <row r="20" spans="1:14" ht="18" x14ac:dyDescent="0.4">
      <c r="A20" s="3" t="s">
        <v>26</v>
      </c>
      <c r="B20" s="2" t="s">
        <v>1</v>
      </c>
      <c r="C20" s="5">
        <v>122.4346</v>
      </c>
      <c r="D20" s="5">
        <v>122.41289999999999</v>
      </c>
      <c r="E20" s="1">
        <v>122.39360000000001</v>
      </c>
      <c r="F20" s="1">
        <v>122.37569999999999</v>
      </c>
      <c r="G20" s="1">
        <v>122.3578</v>
      </c>
      <c r="H20" s="1">
        <v>122.3412</v>
      </c>
      <c r="I20" s="1">
        <v>122.324</v>
      </c>
      <c r="J20" s="1">
        <v>122.30710000000001</v>
      </c>
      <c r="K20" s="32">
        <v>122.3018</v>
      </c>
      <c r="L20" s="1">
        <v>122.2871</v>
      </c>
      <c r="M20" s="1">
        <v>122.22839999999999</v>
      </c>
      <c r="N20" s="1">
        <v>122.1033</v>
      </c>
    </row>
    <row r="21" spans="1:14" ht="18" customHeight="1" x14ac:dyDescent="0.3">
      <c r="A21" s="3" t="s">
        <v>31</v>
      </c>
      <c r="B21" s="2" t="s">
        <v>5</v>
      </c>
      <c r="C21" s="17">
        <v>2.7311080000000001E-2</v>
      </c>
      <c r="D21" s="42">
        <f>0.03244821</f>
        <v>3.2448209999999998E-2</v>
      </c>
      <c r="E21" s="1">
        <v>3.7446100000000003E-2</v>
      </c>
      <c r="F21" s="1">
        <v>4.2516270000000002E-2</v>
      </c>
      <c r="G21" s="1">
        <v>4.7389140000000003E-2</v>
      </c>
      <c r="H21" s="1">
        <v>5.2393429999999998E-2</v>
      </c>
      <c r="I21" s="1">
        <v>5.7888530000000001E-2</v>
      </c>
      <c r="J21" s="1">
        <v>6.4089229999999997E-2</v>
      </c>
      <c r="K21" s="32">
        <v>6.6052760000000002E-2</v>
      </c>
      <c r="L21" s="1">
        <v>7.1123060000000002E-2</v>
      </c>
      <c r="M21" s="1">
        <v>8.2918820000000004E-2</v>
      </c>
      <c r="N21" s="1">
        <v>0.12296360000000001</v>
      </c>
    </row>
    <row r="22" spans="1:14" s="14" customFormat="1" ht="18" customHeight="1" x14ac:dyDescent="0.3">
      <c r="A22" s="3" t="s">
        <v>50</v>
      </c>
      <c r="B22" s="2" t="s">
        <v>5</v>
      </c>
      <c r="C22" s="16">
        <f t="shared" ref="C22:N22" si="3">C21+C15</f>
        <v>0.33932027999999997</v>
      </c>
      <c r="D22" s="16">
        <f t="shared" si="3"/>
        <v>0.49944821</v>
      </c>
      <c r="E22" s="16">
        <f t="shared" si="3"/>
        <v>0.70005190000000006</v>
      </c>
      <c r="F22" s="16">
        <f t="shared" si="3"/>
        <v>0.94579407000000004</v>
      </c>
      <c r="G22" s="16">
        <f t="shared" si="3"/>
        <v>1.2473791399999998</v>
      </c>
      <c r="H22" s="16">
        <f t="shared" si="3"/>
        <v>1.6233634299999999</v>
      </c>
      <c r="I22" s="16">
        <f t="shared" si="3"/>
        <v>2.1100005300000002</v>
      </c>
      <c r="J22" s="16">
        <f t="shared" si="3"/>
        <v>2.7921852299999999</v>
      </c>
      <c r="K22" s="27">
        <f t="shared" si="3"/>
        <v>3.05864176</v>
      </c>
      <c r="L22" s="16">
        <f t="shared" si="3"/>
        <v>3.9559990600000003</v>
      </c>
      <c r="M22" s="16">
        <f t="shared" si="3"/>
        <v>8.6697468200000003</v>
      </c>
      <c r="N22" s="16">
        <f t="shared" si="3"/>
        <v>6.8738206000000002</v>
      </c>
    </row>
    <row r="23" spans="1:14" s="14" customFormat="1" ht="18" customHeight="1" x14ac:dyDescent="0.3">
      <c r="A23" s="3" t="s">
        <v>51</v>
      </c>
      <c r="B23" s="2" t="s">
        <v>52</v>
      </c>
      <c r="C23" s="4">
        <f t="shared" ref="C23:N23" si="4">C22/C11*1000</f>
        <v>1.1198637366031972</v>
      </c>
      <c r="D23" s="4">
        <f t="shared" si="4"/>
        <v>1.3780135895334051</v>
      </c>
      <c r="E23" s="4">
        <f t="shared" si="4"/>
        <v>1.6616588772291283</v>
      </c>
      <c r="F23" s="4">
        <f t="shared" si="4"/>
        <v>1.9723071780294696</v>
      </c>
      <c r="G23" s="4">
        <f t="shared" si="4"/>
        <v>2.3220350928401414</v>
      </c>
      <c r="H23" s="4">
        <f t="shared" si="4"/>
        <v>2.7321108345765044</v>
      </c>
      <c r="I23" s="4">
        <f t="shared" si="4"/>
        <v>3.2439248375116918</v>
      </c>
      <c r="J23" s="4">
        <f t="shared" si="4"/>
        <v>3.9558286089441137</v>
      </c>
      <c r="K23" s="28">
        <f t="shared" si="4"/>
        <v>4.2369075236149722</v>
      </c>
      <c r="L23" s="4">
        <f t="shared" si="4"/>
        <v>5.2066574422644605</v>
      </c>
      <c r="M23" s="4">
        <f t="shared" si="4"/>
        <v>10.809701210883979</v>
      </c>
      <c r="N23" s="4">
        <f t="shared" si="4"/>
        <v>8.569847388154276</v>
      </c>
    </row>
    <row r="24" spans="1:14" x14ac:dyDescent="0.3">
      <c r="A24" s="3" t="s">
        <v>34</v>
      </c>
      <c r="B24" s="2" t="s">
        <v>28</v>
      </c>
      <c r="C24" s="5">
        <f t="shared" ref="C24:N24" si="5">C19/C11</f>
        <v>2.9280194744974777</v>
      </c>
      <c r="D24" s="5">
        <f t="shared" si="5"/>
        <v>2.9438194993001616</v>
      </c>
      <c r="E24" s="5">
        <f t="shared" si="5"/>
        <v>2.9605242857176766</v>
      </c>
      <c r="F24" s="5">
        <f t="shared" si="5"/>
        <v>2.9771014493358074</v>
      </c>
      <c r="G24" s="5">
        <f t="shared" si="5"/>
        <v>2.9946451195680059</v>
      </c>
      <c r="H24" s="5">
        <f t="shared" si="5"/>
        <v>3.0120206160027143</v>
      </c>
      <c r="I24" s="5">
        <f t="shared" si="5"/>
        <v>3.027980151489714</v>
      </c>
      <c r="J24" s="5">
        <f t="shared" si="5"/>
        <v>3.0429666293022448</v>
      </c>
      <c r="K24" s="27">
        <f t="shared" si="5"/>
        <v>3.0473568310924315</v>
      </c>
      <c r="L24" s="5">
        <f t="shared" si="5"/>
        <v>3.059030426971018</v>
      </c>
      <c r="M24" s="5">
        <f t="shared" si="5"/>
        <v>3.1060033746703222</v>
      </c>
      <c r="N24" s="5">
        <f t="shared" si="5"/>
        <v>3.2634715869230742</v>
      </c>
    </row>
    <row r="25" spans="1:14" ht="18" customHeight="1" x14ac:dyDescent="0.3">
      <c r="A25" s="150" t="s">
        <v>27</v>
      </c>
      <c r="B25" s="12" t="s">
        <v>36</v>
      </c>
      <c r="C25" s="12"/>
      <c r="D25" s="7"/>
      <c r="E25" s="1"/>
      <c r="F25" s="1"/>
      <c r="G25" s="1"/>
      <c r="H25" s="1"/>
      <c r="I25" s="1"/>
      <c r="J25" s="1"/>
      <c r="K25" s="32"/>
      <c r="L25" s="1"/>
      <c r="M25" s="1"/>
      <c r="N25" s="1"/>
    </row>
    <row r="26" spans="1:14" x14ac:dyDescent="0.3">
      <c r="A26" s="150"/>
      <c r="B26" s="2" t="s">
        <v>11</v>
      </c>
      <c r="C26" s="19">
        <v>0.88716170000000005</v>
      </c>
      <c r="D26" s="19">
        <v>0.88719360000000003</v>
      </c>
      <c r="E26" s="46">
        <v>0.88726260000000001</v>
      </c>
      <c r="F26" s="46">
        <v>0.88711799999999996</v>
      </c>
      <c r="G26" s="46">
        <v>0.88708260000000005</v>
      </c>
      <c r="H26" s="46">
        <v>0.88682470000000002</v>
      </c>
      <c r="I26" s="46">
        <v>0.8861057</v>
      </c>
      <c r="J26" s="46">
        <v>0.88485259999999999</v>
      </c>
      <c r="K26" s="47">
        <v>0.88438779999999995</v>
      </c>
      <c r="L26" s="46">
        <v>0.88301739999999995</v>
      </c>
      <c r="M26" s="46">
        <v>0.87685729999999995</v>
      </c>
      <c r="N26" s="46">
        <v>0.85029120000000002</v>
      </c>
    </row>
    <row r="27" spans="1:14" x14ac:dyDescent="0.3">
      <c r="A27" s="150"/>
      <c r="B27" s="2" t="s">
        <v>12</v>
      </c>
      <c r="C27" s="19">
        <v>2.2996399999999999E-3</v>
      </c>
      <c r="D27" s="19">
        <v>2.163356E-3</v>
      </c>
      <c r="E27" s="46">
        <v>2.0265230000000001E-3</v>
      </c>
      <c r="F27" s="46">
        <v>1.896102E-3</v>
      </c>
      <c r="G27" s="46">
        <v>1.7749930000000001E-3</v>
      </c>
      <c r="H27" s="46">
        <v>1.663437E-3</v>
      </c>
      <c r="I27" s="46">
        <v>1.5593269999999999E-3</v>
      </c>
      <c r="J27" s="46">
        <v>1.459821E-3</v>
      </c>
      <c r="K27" s="47">
        <v>1.430635E-3</v>
      </c>
      <c r="L27" s="46">
        <v>1.3569109999999999E-3</v>
      </c>
      <c r="M27" s="46">
        <v>1.1210230000000001E-3</v>
      </c>
      <c r="N27" s="46">
        <v>7.4750830000000002E-4</v>
      </c>
    </row>
    <row r="28" spans="1:14" x14ac:dyDescent="0.3">
      <c r="A28" s="150"/>
      <c r="B28" s="2" t="s">
        <v>13</v>
      </c>
      <c r="C28" s="19">
        <v>1.3139050000000001E-4</v>
      </c>
      <c r="D28" s="19">
        <v>1.284305E-4</v>
      </c>
      <c r="E28" s="46">
        <v>1.253525E-4</v>
      </c>
      <c r="F28" s="46">
        <v>1.223303E-4</v>
      </c>
      <c r="G28" s="46">
        <v>1.194705E-4</v>
      </c>
      <c r="H28" s="46">
        <v>1.1678430000000001E-4</v>
      </c>
      <c r="I28" s="46">
        <v>1.142097E-4</v>
      </c>
      <c r="J28" s="46">
        <v>1.116833E-4</v>
      </c>
      <c r="K28" s="47">
        <v>1.109322E-4</v>
      </c>
      <c r="L28" s="46">
        <v>1.0901800000000001E-4</v>
      </c>
      <c r="M28" s="46">
        <v>1.028303E-4</v>
      </c>
      <c r="N28" s="46">
        <v>9.479225E-5</v>
      </c>
    </row>
    <row r="29" spans="1:14" x14ac:dyDescent="0.3">
      <c r="A29" s="150"/>
      <c r="B29" s="2" t="s">
        <v>14</v>
      </c>
      <c r="C29" s="19">
        <v>2.29738E-5</v>
      </c>
      <c r="D29" s="19">
        <v>2.2452440000000001E-5</v>
      </c>
      <c r="E29" s="46">
        <v>2.190566E-5</v>
      </c>
      <c r="F29" s="46">
        <v>2.136385E-5</v>
      </c>
      <c r="G29" s="46">
        <v>2.0846110000000001E-5</v>
      </c>
      <c r="H29" s="46">
        <v>2.0354879999999999E-5</v>
      </c>
      <c r="I29" s="46">
        <v>1.9879400000000001E-5</v>
      </c>
      <c r="J29" s="46">
        <v>1.9408159999999999E-5</v>
      </c>
      <c r="K29" s="47">
        <v>1.926704E-5</v>
      </c>
      <c r="L29" s="46">
        <v>1.890506E-5</v>
      </c>
      <c r="M29" s="46">
        <v>1.7703460000000001E-5</v>
      </c>
      <c r="N29" s="46">
        <v>1.5890040000000001E-5</v>
      </c>
    </row>
    <row r="30" spans="1:14" x14ac:dyDescent="0.3">
      <c r="A30" s="150"/>
      <c r="B30" s="2" t="s">
        <v>15</v>
      </c>
      <c r="C30" s="19">
        <v>0.1102556</v>
      </c>
      <c r="D30" s="19">
        <v>0.1103642</v>
      </c>
      <c r="E30" s="46">
        <v>0.1104362</v>
      </c>
      <c r="F30" s="46">
        <v>0.1107149</v>
      </c>
      <c r="G30" s="46">
        <v>0.110875</v>
      </c>
      <c r="H30" s="46">
        <v>0.1112475</v>
      </c>
      <c r="I30" s="46">
        <v>0.1120722</v>
      </c>
      <c r="J30" s="46">
        <v>0.113425</v>
      </c>
      <c r="K30" s="47">
        <v>0.1139187</v>
      </c>
      <c r="L30" s="46">
        <v>0.1153618</v>
      </c>
      <c r="M30" s="46">
        <v>0.12175030000000001</v>
      </c>
      <c r="N30" s="46">
        <v>0.14862300000000001</v>
      </c>
    </row>
    <row r="31" spans="1:14" x14ac:dyDescent="0.3">
      <c r="A31" s="150"/>
      <c r="B31" s="2" t="s">
        <v>0</v>
      </c>
      <c r="C31" s="19">
        <v>1.2858300000000001E-4</v>
      </c>
      <c r="D31" s="19">
        <v>1.2796119999999999E-4</v>
      </c>
      <c r="E31" s="46">
        <v>1.2732830000000001E-4</v>
      </c>
      <c r="F31" s="46">
        <v>1.272976E-4</v>
      </c>
      <c r="G31" s="46">
        <v>1.2697779999999999E-4</v>
      </c>
      <c r="H31" s="46">
        <v>1.2723310000000001E-4</v>
      </c>
      <c r="I31" s="46">
        <v>1.286875E-4</v>
      </c>
      <c r="J31" s="46">
        <v>1.3152260000000001E-4</v>
      </c>
      <c r="K31" s="47">
        <v>1.3260100000000001E-4</v>
      </c>
      <c r="L31" s="46">
        <v>1.3582390000000001E-4</v>
      </c>
      <c r="M31" s="46">
        <v>1.507177E-4</v>
      </c>
      <c r="N31" s="46">
        <v>2.2765139999999999E-4</v>
      </c>
    </row>
    <row r="32" spans="1:14" x14ac:dyDescent="0.3">
      <c r="A32" s="150" t="s">
        <v>27</v>
      </c>
      <c r="B32" s="12" t="s">
        <v>35</v>
      </c>
      <c r="C32" s="12"/>
      <c r="D32" s="1"/>
      <c r="E32" s="46"/>
      <c r="F32" s="46"/>
      <c r="G32" s="46"/>
      <c r="H32" s="46"/>
      <c r="I32" s="46"/>
      <c r="J32" s="46"/>
      <c r="K32" s="47"/>
      <c r="L32" s="46"/>
      <c r="M32" s="46"/>
      <c r="N32" s="46"/>
    </row>
    <row r="33" spans="1:14" x14ac:dyDescent="0.3">
      <c r="A33" s="150"/>
      <c r="B33" s="2" t="s">
        <v>11</v>
      </c>
      <c r="C33" s="19">
        <v>0.76583590000000001</v>
      </c>
      <c r="D33" s="46">
        <v>0.76573279999999999</v>
      </c>
      <c r="E33" s="46">
        <v>0.76569659999999995</v>
      </c>
      <c r="F33" s="46">
        <v>0.76528050000000003</v>
      </c>
      <c r="G33" s="46">
        <v>0.76507360000000002</v>
      </c>
      <c r="H33" s="46">
        <v>0.76447489999999996</v>
      </c>
      <c r="I33" s="46">
        <v>0.76305230000000002</v>
      </c>
      <c r="J33" s="46">
        <v>0.76067569999999995</v>
      </c>
      <c r="K33" s="47">
        <v>0.75980539999999996</v>
      </c>
      <c r="L33" s="46">
        <v>0.75725969999999998</v>
      </c>
      <c r="M33" s="46">
        <v>0.74603710000000001</v>
      </c>
      <c r="N33" s="46">
        <v>0.70027759999999994</v>
      </c>
    </row>
    <row r="34" spans="1:14" x14ac:dyDescent="0.3">
      <c r="A34" s="150"/>
      <c r="B34" s="2" t="s">
        <v>12</v>
      </c>
      <c r="C34" s="19">
        <v>1.363714E-3</v>
      </c>
      <c r="D34" s="46">
        <v>1.2826770000000001E-3</v>
      </c>
      <c r="E34" s="46">
        <v>1.2013970000000001E-3</v>
      </c>
      <c r="F34" s="46">
        <v>1.123651E-3</v>
      </c>
      <c r="G34" s="46">
        <v>1.0516379999999999E-3</v>
      </c>
      <c r="H34" s="46">
        <v>9.8505909999999997E-4</v>
      </c>
      <c r="I34" s="46">
        <v>9.2243649999999996E-4</v>
      </c>
      <c r="J34" s="46">
        <v>8.6210210000000004E-4</v>
      </c>
      <c r="K34" s="47">
        <v>8.4434340000000003E-4</v>
      </c>
      <c r="L34" s="46">
        <v>7.9938769999999995E-4</v>
      </c>
      <c r="M34" s="46">
        <v>6.5520400000000005E-4</v>
      </c>
      <c r="N34" s="46">
        <v>4.2291110000000002E-4</v>
      </c>
    </row>
    <row r="35" spans="1:14" x14ac:dyDescent="0.3">
      <c r="A35" s="150"/>
      <c r="B35" s="2" t="s">
        <v>13</v>
      </c>
      <c r="C35" s="19">
        <v>1.781858E-4</v>
      </c>
      <c r="D35" s="46">
        <v>1.7414190000000001E-4</v>
      </c>
      <c r="E35" s="46">
        <v>1.699471E-4</v>
      </c>
      <c r="F35" s="46">
        <v>1.657866E-4</v>
      </c>
      <c r="G35" s="46">
        <v>1.618736E-4</v>
      </c>
      <c r="H35" s="46">
        <v>1.581562E-4</v>
      </c>
      <c r="I35" s="46">
        <v>1.5450699999999999E-4</v>
      </c>
      <c r="J35" s="46">
        <v>1.5083189999999999E-4</v>
      </c>
      <c r="K35" s="47">
        <v>1.497247E-4</v>
      </c>
      <c r="L35" s="46">
        <v>1.468757E-4</v>
      </c>
      <c r="M35" s="46">
        <v>1.3744500000000001E-4</v>
      </c>
      <c r="N35" s="46">
        <v>1.2264550000000001E-4</v>
      </c>
    </row>
    <row r="36" spans="1:14" x14ac:dyDescent="0.3">
      <c r="A36" s="150"/>
      <c r="B36" s="2" t="s">
        <v>14</v>
      </c>
      <c r="C36" s="19">
        <v>2.7276000000000001E-5</v>
      </c>
      <c r="D36" s="46">
        <v>2.665246E-5</v>
      </c>
      <c r="E36" s="46">
        <v>2.6000149999999999E-5</v>
      </c>
      <c r="F36" s="46">
        <v>2.5347419999999999E-5</v>
      </c>
      <c r="G36" s="46">
        <v>2.4727439999999999E-5</v>
      </c>
      <c r="H36" s="46">
        <v>2.4132869999999999E-5</v>
      </c>
      <c r="I36" s="46">
        <v>2.3544369999999999E-5</v>
      </c>
      <c r="J36" s="46">
        <v>2.2947099999999999E-5</v>
      </c>
      <c r="K36" s="47">
        <v>2.2766149999999999E-5</v>
      </c>
      <c r="L36" s="46">
        <v>2.2298139999999999E-5</v>
      </c>
      <c r="M36" s="46">
        <v>2.0715939999999999E-5</v>
      </c>
      <c r="N36" s="46">
        <v>1.7998759999999998E-5</v>
      </c>
    </row>
    <row r="37" spans="1:14" x14ac:dyDescent="0.3">
      <c r="A37" s="150"/>
      <c r="B37" s="2" t="s">
        <v>15</v>
      </c>
      <c r="C37" s="19">
        <v>0.2325149</v>
      </c>
      <c r="D37" s="46">
        <v>0.2327042</v>
      </c>
      <c r="E37" s="46">
        <v>0.2328269</v>
      </c>
      <c r="F37" s="46">
        <v>0.23332559999999999</v>
      </c>
      <c r="G37" s="46">
        <v>0.23360919999999999</v>
      </c>
      <c r="H37" s="46">
        <v>0.23427870000000001</v>
      </c>
      <c r="I37" s="46">
        <v>0.23576739999999999</v>
      </c>
      <c r="J37" s="46">
        <v>0.238207</v>
      </c>
      <c r="K37" s="47">
        <v>0.23909569999999999</v>
      </c>
      <c r="L37" s="46">
        <v>0.24168780000000001</v>
      </c>
      <c r="M37" s="46">
        <v>0.25305709999999998</v>
      </c>
      <c r="N37" s="46">
        <v>0.29902380000000001</v>
      </c>
    </row>
    <row r="38" spans="1:14" x14ac:dyDescent="0.3">
      <c r="A38" s="150"/>
      <c r="B38" s="2" t="s">
        <v>0</v>
      </c>
      <c r="C38" s="19">
        <v>7.9972440000000003E-5</v>
      </c>
      <c r="D38" s="46">
        <v>7.957215E-5</v>
      </c>
      <c r="E38" s="46">
        <v>7.9168670000000004E-5</v>
      </c>
      <c r="F38" s="46">
        <v>7.9119470000000005E-5</v>
      </c>
      <c r="G38" s="46">
        <v>7.8902519999999993E-5</v>
      </c>
      <c r="H38" s="46">
        <v>7.9022249999999994E-5</v>
      </c>
      <c r="I38" s="46">
        <v>7.9841559999999995E-5</v>
      </c>
      <c r="J38" s="46">
        <v>8.1461589999999999E-5</v>
      </c>
      <c r="K38" s="47">
        <v>8.2078700000000004E-5</v>
      </c>
      <c r="L38" s="46">
        <v>8.3921959999999998E-5</v>
      </c>
      <c r="M38" s="46">
        <v>9.2388890000000005E-5</v>
      </c>
      <c r="N38" s="46">
        <v>1.350818E-4</v>
      </c>
    </row>
  </sheetData>
  <mergeCells count="2">
    <mergeCell ref="A25:A31"/>
    <mergeCell ref="A32:A38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8"/>
  <sheetViews>
    <sheetView zoomScale="80" zoomScaleNormal="80" workbookViewId="0">
      <selection activeCell="D1" sqref="D1"/>
    </sheetView>
  </sheetViews>
  <sheetFormatPr defaultRowHeight="15.6" x14ac:dyDescent="0.3"/>
  <cols>
    <col min="1" max="1" width="58" customWidth="1"/>
    <col min="2" max="2" width="20.796875" customWidth="1"/>
    <col min="22" max="22" width="8.796875" style="24"/>
  </cols>
  <sheetData>
    <row r="1" spans="1:27" x14ac:dyDescent="0.3">
      <c r="A1" s="61" t="s">
        <v>55</v>
      </c>
      <c r="B1" s="62" t="s">
        <v>8</v>
      </c>
      <c r="C1" s="63">
        <v>30</v>
      </c>
    </row>
    <row r="2" spans="1:27" x14ac:dyDescent="0.3">
      <c r="A2" s="3" t="s">
        <v>17</v>
      </c>
      <c r="B2" s="2" t="s">
        <v>1</v>
      </c>
      <c r="C2" s="2">
        <v>40</v>
      </c>
      <c r="D2" s="2">
        <v>40</v>
      </c>
      <c r="E2" s="2">
        <v>40</v>
      </c>
      <c r="F2" s="2">
        <v>40</v>
      </c>
      <c r="G2" s="2">
        <v>40</v>
      </c>
      <c r="H2" s="2">
        <v>40</v>
      </c>
      <c r="I2" s="2">
        <v>40</v>
      </c>
      <c r="J2" s="2">
        <v>40</v>
      </c>
      <c r="K2" s="2">
        <v>40</v>
      </c>
      <c r="L2" s="2">
        <v>40</v>
      </c>
      <c r="M2" s="2">
        <v>40</v>
      </c>
      <c r="N2" s="2">
        <v>40</v>
      </c>
      <c r="O2" s="2">
        <v>40</v>
      </c>
      <c r="P2" s="2">
        <v>40</v>
      </c>
      <c r="Q2" s="2">
        <v>40</v>
      </c>
      <c r="R2" s="2">
        <v>40</v>
      </c>
      <c r="S2" s="2">
        <v>40</v>
      </c>
      <c r="T2" s="2">
        <v>40</v>
      </c>
      <c r="U2" s="2">
        <v>40</v>
      </c>
      <c r="V2" s="25">
        <v>40</v>
      </c>
      <c r="W2" s="2">
        <v>40</v>
      </c>
      <c r="X2" s="2">
        <v>40</v>
      </c>
      <c r="Y2" s="2">
        <v>40</v>
      </c>
      <c r="Z2" s="2">
        <v>40</v>
      </c>
      <c r="AA2" s="2">
        <v>40</v>
      </c>
    </row>
    <row r="3" spans="1:27" x14ac:dyDescent="0.3">
      <c r="A3" s="3" t="s">
        <v>16</v>
      </c>
      <c r="B3" s="2" t="s">
        <v>2</v>
      </c>
      <c r="C3" s="2">
        <v>1.0129999999999999</v>
      </c>
      <c r="D3" s="2">
        <v>1.0129999999999999</v>
      </c>
      <c r="E3" s="2">
        <v>1.0129999999999999</v>
      </c>
      <c r="F3" s="2">
        <v>1.0129999999999999</v>
      </c>
      <c r="G3" s="2">
        <v>1.0129999999999999</v>
      </c>
      <c r="H3" s="2">
        <v>1.0129999999999999</v>
      </c>
      <c r="I3" s="2">
        <v>1.0129999999999999</v>
      </c>
      <c r="J3" s="2">
        <v>1.0129999999999999</v>
      </c>
      <c r="K3" s="2">
        <v>1.0129999999999999</v>
      </c>
      <c r="L3" s="2">
        <v>1.0129999999999999</v>
      </c>
      <c r="M3" s="2">
        <v>1.0129999999999999</v>
      </c>
      <c r="N3" s="2">
        <v>1.0129999999999999</v>
      </c>
      <c r="O3" s="2">
        <v>1.0129999999999999</v>
      </c>
      <c r="P3" s="2">
        <v>1.0129999999999999</v>
      </c>
      <c r="Q3" s="2">
        <v>1.0129999999999999</v>
      </c>
      <c r="R3" s="2">
        <v>1.0129999999999999</v>
      </c>
      <c r="S3" s="2">
        <v>1.0129999999999999</v>
      </c>
      <c r="T3" s="2">
        <v>1.0129999999999999</v>
      </c>
      <c r="U3" s="2">
        <v>1.0129999999999999</v>
      </c>
      <c r="V3" s="25">
        <v>1.0129999999999999</v>
      </c>
      <c r="W3" s="2">
        <v>1.0129999999999999</v>
      </c>
      <c r="X3" s="2">
        <v>1.0129999999999999</v>
      </c>
      <c r="Y3" s="2">
        <v>1.0129999999999999</v>
      </c>
      <c r="Z3" s="2">
        <v>1.0129999999999999</v>
      </c>
      <c r="AA3" s="2">
        <v>1.0129999999999999</v>
      </c>
    </row>
    <row r="4" spans="1:27" x14ac:dyDescent="0.3">
      <c r="A4" s="3" t="s">
        <v>3</v>
      </c>
      <c r="B4" s="2" t="s">
        <v>1</v>
      </c>
      <c r="C4" s="2">
        <v>40</v>
      </c>
      <c r="D4" s="2">
        <v>40</v>
      </c>
      <c r="E4" s="2">
        <v>40</v>
      </c>
      <c r="F4" s="2">
        <v>40</v>
      </c>
      <c r="G4" s="2">
        <v>40</v>
      </c>
      <c r="H4" s="2">
        <v>40</v>
      </c>
      <c r="I4" s="2">
        <v>40</v>
      </c>
      <c r="J4" s="2">
        <v>40</v>
      </c>
      <c r="K4" s="2">
        <v>40</v>
      </c>
      <c r="L4" s="2">
        <v>40</v>
      </c>
      <c r="M4" s="2">
        <v>40</v>
      </c>
      <c r="N4" s="2">
        <v>40</v>
      </c>
      <c r="O4" s="2">
        <v>40</v>
      </c>
      <c r="P4" s="2">
        <v>40</v>
      </c>
      <c r="Q4" s="2">
        <v>40</v>
      </c>
      <c r="R4" s="2">
        <v>40</v>
      </c>
      <c r="S4" s="2">
        <v>40</v>
      </c>
      <c r="T4" s="2">
        <v>40</v>
      </c>
      <c r="U4" s="2">
        <v>40</v>
      </c>
      <c r="V4" s="25">
        <v>40</v>
      </c>
      <c r="W4" s="2">
        <v>40</v>
      </c>
      <c r="X4" s="2">
        <v>40</v>
      </c>
      <c r="Y4" s="2">
        <v>40</v>
      </c>
      <c r="Z4" s="2">
        <v>40</v>
      </c>
      <c r="AA4" s="2">
        <v>40</v>
      </c>
    </row>
    <row r="5" spans="1:27" x14ac:dyDescent="0.3">
      <c r="A5" s="3" t="s">
        <v>18</v>
      </c>
      <c r="B5" s="2" t="s">
        <v>2</v>
      </c>
      <c r="C5" s="2">
        <v>1.0129999999999999</v>
      </c>
      <c r="D5" s="2">
        <v>1.0129999999999999</v>
      </c>
      <c r="E5" s="2">
        <v>1.0129999999999999</v>
      </c>
      <c r="F5" s="2">
        <v>1.0129999999999999</v>
      </c>
      <c r="G5" s="2">
        <v>1.0129999999999999</v>
      </c>
      <c r="H5" s="2">
        <v>1.0129999999999999</v>
      </c>
      <c r="I5" s="2">
        <v>1.0129999999999999</v>
      </c>
      <c r="J5" s="2">
        <v>1.0129999999999999</v>
      </c>
      <c r="K5" s="2">
        <v>1.0129999999999999</v>
      </c>
      <c r="L5" s="2">
        <v>1.0129999999999999</v>
      </c>
      <c r="M5" s="2">
        <v>1.0129999999999999</v>
      </c>
      <c r="N5" s="2">
        <v>1.0129999999999999</v>
      </c>
      <c r="O5" s="2">
        <v>1.0129999999999999</v>
      </c>
      <c r="P5" s="2">
        <v>1.0129999999999999</v>
      </c>
      <c r="Q5" s="2">
        <v>1.0129999999999999</v>
      </c>
      <c r="R5" s="2">
        <v>1.0129999999999999</v>
      </c>
      <c r="S5" s="2">
        <v>1.0129999999999999</v>
      </c>
      <c r="T5" s="2">
        <v>1.0129999999999999</v>
      </c>
      <c r="U5" s="2">
        <v>1.0129999999999999</v>
      </c>
      <c r="V5" s="25">
        <v>1.0129999999999999</v>
      </c>
      <c r="W5" s="2">
        <v>1.0129999999999999</v>
      </c>
      <c r="X5" s="2">
        <v>1.0129999999999999</v>
      </c>
      <c r="Y5" s="2">
        <v>1.0129999999999999</v>
      </c>
      <c r="Z5" s="2">
        <v>1.0129999999999999</v>
      </c>
      <c r="AA5" s="2">
        <v>1.0129999999999999</v>
      </c>
    </row>
    <row r="6" spans="1:27" x14ac:dyDescent="0.3">
      <c r="A6" s="3" t="s">
        <v>4</v>
      </c>
      <c r="B6" s="2" t="s">
        <v>5</v>
      </c>
      <c r="C6" s="5">
        <f>'MEA 30%'!$C$6</f>
        <v>5050.3680000000004</v>
      </c>
      <c r="D6" s="5">
        <f>'MEA 30%'!$C$6</f>
        <v>5050.3680000000004</v>
      </c>
      <c r="E6" s="5">
        <f>'MEA 30%'!$C$6</f>
        <v>5050.3680000000004</v>
      </c>
      <c r="F6" s="5">
        <f>'MEA 30%'!$C$6</f>
        <v>5050.3680000000004</v>
      </c>
      <c r="G6" s="5">
        <f>'MEA 30%'!$C$6</f>
        <v>5050.3680000000004</v>
      </c>
      <c r="H6" s="5">
        <f>'MEA 30%'!$C$6</f>
        <v>5050.3680000000004</v>
      </c>
      <c r="I6" s="5">
        <f>'MEA 30%'!$C$6</f>
        <v>5050.3680000000004</v>
      </c>
      <c r="J6" s="5">
        <f>'MEA 30%'!$C$6</f>
        <v>5050.3680000000004</v>
      </c>
      <c r="K6" s="5">
        <f>'MEA 30%'!$C$6</f>
        <v>5050.3680000000004</v>
      </c>
      <c r="L6" s="5">
        <f>'MEA 30%'!$C$6</f>
        <v>5050.3680000000004</v>
      </c>
      <c r="M6" s="5">
        <f>'MEA 30%'!$C$6</f>
        <v>5050.3680000000004</v>
      </c>
      <c r="N6" s="5">
        <f>'MEA 30%'!$C$6</f>
        <v>5050.3680000000004</v>
      </c>
      <c r="O6" s="5">
        <f>'MEA 30%'!$C$6</f>
        <v>5050.3680000000004</v>
      </c>
      <c r="P6" s="5">
        <f>'MEA 30%'!$C$6</f>
        <v>5050.3680000000004</v>
      </c>
      <c r="Q6" s="5">
        <f>'MEA 30%'!$C$6</f>
        <v>5050.3680000000004</v>
      </c>
      <c r="R6" s="5">
        <f>'MEA 30%'!$C$6</f>
        <v>5050.3680000000004</v>
      </c>
      <c r="S6" s="5">
        <f>'MEA 30%'!$C$6</f>
        <v>5050.3680000000004</v>
      </c>
      <c r="T6" s="5">
        <f>'MEA 30%'!$C$6</f>
        <v>5050.3680000000004</v>
      </c>
      <c r="U6" s="5">
        <f>'MEA 30%'!$C$6</f>
        <v>5050.3680000000004</v>
      </c>
      <c r="V6" s="26">
        <f>'MEA 30%'!$C$6</f>
        <v>5050.3680000000004</v>
      </c>
      <c r="W6" s="5">
        <f>'MEA 30%'!$C$6</f>
        <v>5050.3680000000004</v>
      </c>
      <c r="X6" s="5">
        <f>'MEA 30%'!$C$6</f>
        <v>5050.3680000000004</v>
      </c>
      <c r="Y6" s="5">
        <f>'MEA 30%'!$C$6</f>
        <v>5050.3680000000004</v>
      </c>
      <c r="Z6" s="5">
        <f>'MEA 30%'!$C$6</f>
        <v>5050.3680000000004</v>
      </c>
      <c r="AA6" s="5">
        <f>'MEA 30%'!$C$6</f>
        <v>5050.3680000000004</v>
      </c>
    </row>
    <row r="7" spans="1:27" x14ac:dyDescent="0.3">
      <c r="A7" s="6" t="s">
        <v>6</v>
      </c>
      <c r="B7" s="22" t="s">
        <v>5</v>
      </c>
      <c r="C7" s="31">
        <f>C6*C8</f>
        <v>2525.1840000000002</v>
      </c>
      <c r="D7" s="31">
        <f t="shared" ref="D7:R7" si="0">D6*D8</f>
        <v>3030.2208000000001</v>
      </c>
      <c r="E7" s="31">
        <f t="shared" si="0"/>
        <v>3535.2575999999999</v>
      </c>
      <c r="F7" s="31">
        <f t="shared" si="0"/>
        <v>4040.2944000000007</v>
      </c>
      <c r="G7" s="31">
        <f t="shared" si="0"/>
        <v>4545.3312000000005</v>
      </c>
      <c r="H7" s="31">
        <f t="shared" si="0"/>
        <v>5050.3680000000004</v>
      </c>
      <c r="I7" s="31">
        <f t="shared" si="0"/>
        <v>5555.4048000000012</v>
      </c>
      <c r="J7" s="31">
        <f t="shared" si="0"/>
        <v>6060.4416000000001</v>
      </c>
      <c r="K7" s="31">
        <f t="shared" si="0"/>
        <v>6565.4784000000009</v>
      </c>
      <c r="L7" s="31">
        <f t="shared" si="0"/>
        <v>7070.5151999999998</v>
      </c>
      <c r="M7" s="31">
        <f t="shared" si="0"/>
        <v>7575.5520000000006</v>
      </c>
      <c r="N7" s="31">
        <f t="shared" si="0"/>
        <v>8080.5888000000014</v>
      </c>
      <c r="O7" s="31">
        <f t="shared" si="0"/>
        <v>8585.6256000000012</v>
      </c>
      <c r="P7" s="31">
        <f t="shared" si="0"/>
        <v>9090.6624000000011</v>
      </c>
      <c r="Q7" s="31">
        <f t="shared" si="0"/>
        <v>9595.6992000000009</v>
      </c>
      <c r="R7" s="31">
        <f t="shared" si="0"/>
        <v>10100.736000000001</v>
      </c>
      <c r="S7" s="31">
        <f t="shared" ref="S7:AA7" si="1">S6*S8</f>
        <v>10605.772800000001</v>
      </c>
      <c r="T7" s="31">
        <f t="shared" si="1"/>
        <v>11110.809600000002</v>
      </c>
      <c r="U7" s="31">
        <f t="shared" si="1"/>
        <v>11615.8464</v>
      </c>
      <c r="V7" s="32">
        <f t="shared" si="1"/>
        <v>11908.767744000001</v>
      </c>
      <c r="W7" s="31">
        <f t="shared" si="1"/>
        <v>12625.920000000002</v>
      </c>
      <c r="X7" s="31">
        <f t="shared" si="1"/>
        <v>13130.956800000002</v>
      </c>
      <c r="Y7" s="31">
        <f t="shared" si="1"/>
        <v>13635.993600000002</v>
      </c>
      <c r="Z7" s="31">
        <f t="shared" si="1"/>
        <v>14141.0304</v>
      </c>
      <c r="AA7" s="31">
        <f t="shared" si="1"/>
        <v>14646.067200000001</v>
      </c>
    </row>
    <row r="8" spans="1:27" x14ac:dyDescent="0.3">
      <c r="A8" s="3" t="s">
        <v>7</v>
      </c>
      <c r="B8" s="2" t="s">
        <v>29</v>
      </c>
      <c r="C8" s="30">
        <v>0.5</v>
      </c>
      <c r="D8" s="30">
        <v>0.6</v>
      </c>
      <c r="E8" s="30">
        <v>0.7</v>
      </c>
      <c r="F8" s="30">
        <v>0.8</v>
      </c>
      <c r="G8" s="30">
        <v>0.9</v>
      </c>
      <c r="H8" s="30">
        <v>1</v>
      </c>
      <c r="I8" s="30">
        <v>1.1000000000000001</v>
      </c>
      <c r="J8" s="30">
        <v>1.2</v>
      </c>
      <c r="K8" s="30">
        <v>1.3</v>
      </c>
      <c r="L8" s="30">
        <v>1.4</v>
      </c>
      <c r="M8" s="30">
        <v>1.5</v>
      </c>
      <c r="N8" s="30">
        <v>1.6</v>
      </c>
      <c r="O8" s="30">
        <v>1.7</v>
      </c>
      <c r="P8" s="30">
        <v>1.8</v>
      </c>
      <c r="Q8" s="30">
        <v>1.9</v>
      </c>
      <c r="R8" s="30">
        <v>2</v>
      </c>
      <c r="S8" s="30">
        <v>2.1</v>
      </c>
      <c r="T8" s="30">
        <v>2.2000000000000002</v>
      </c>
      <c r="U8" s="30">
        <v>2.2999999999999998</v>
      </c>
      <c r="V8" s="32">
        <v>2.3580000000000001</v>
      </c>
      <c r="W8" s="30">
        <v>2.5</v>
      </c>
      <c r="X8" s="30">
        <v>2.6</v>
      </c>
      <c r="Y8" s="30">
        <v>2.7</v>
      </c>
      <c r="Z8" s="30">
        <v>2.8</v>
      </c>
      <c r="AA8" s="30">
        <v>2.9</v>
      </c>
    </row>
    <row r="9" spans="1:27" ht="18" x14ac:dyDescent="0.4">
      <c r="A9" s="3" t="s">
        <v>32</v>
      </c>
      <c r="B9" s="2" t="s">
        <v>5</v>
      </c>
      <c r="C9" s="1">
        <v>802.09379999999999</v>
      </c>
      <c r="D9" s="1">
        <v>802.09379999999999</v>
      </c>
      <c r="E9" s="1">
        <v>802.09379999999999</v>
      </c>
      <c r="F9" s="1">
        <v>802.09379999999999</v>
      </c>
      <c r="G9" s="1">
        <v>802.09379999999999</v>
      </c>
      <c r="H9" s="1">
        <v>802.09379999999999</v>
      </c>
      <c r="I9" s="1">
        <v>802.09379999999999</v>
      </c>
      <c r="J9" s="1">
        <v>802.09379999999999</v>
      </c>
      <c r="K9" s="1">
        <v>802.09379999999999</v>
      </c>
      <c r="L9" s="1">
        <v>802.09379999999999</v>
      </c>
      <c r="M9" s="1">
        <v>802.09379999999999</v>
      </c>
      <c r="N9" s="1">
        <v>802.09379999999999</v>
      </c>
      <c r="O9" s="1">
        <v>802.09379999999999</v>
      </c>
      <c r="P9" s="1">
        <v>802.09379999999999</v>
      </c>
      <c r="Q9" s="1">
        <v>802.09379999999999</v>
      </c>
      <c r="R9" s="1">
        <v>802.09379999999999</v>
      </c>
      <c r="S9" s="1">
        <v>802.09379999999999</v>
      </c>
      <c r="T9" s="1">
        <v>802.09379999999999</v>
      </c>
      <c r="U9" s="1">
        <v>802.09379999999999</v>
      </c>
      <c r="V9" s="32">
        <v>802.09379999999999</v>
      </c>
      <c r="W9" s="1">
        <v>802.09379999999999</v>
      </c>
      <c r="X9" s="1">
        <v>802.09379999999999</v>
      </c>
      <c r="Y9" s="1">
        <v>802.09379999999999</v>
      </c>
      <c r="Z9" s="1">
        <v>802.09379999999999</v>
      </c>
      <c r="AA9" s="1">
        <v>802.09379999999999</v>
      </c>
    </row>
    <row r="10" spans="1:27" ht="18" x14ac:dyDescent="0.4">
      <c r="A10" s="3" t="s">
        <v>33</v>
      </c>
      <c r="B10" s="2" t="s">
        <v>5</v>
      </c>
      <c r="C10" s="1">
        <v>614.2559</v>
      </c>
      <c r="D10" s="1">
        <v>578.67259999999999</v>
      </c>
      <c r="E10" s="1">
        <v>544.03579999999999</v>
      </c>
      <c r="F10" s="1">
        <v>510.33179999999999</v>
      </c>
      <c r="G10" s="1">
        <v>477.50229999999999</v>
      </c>
      <c r="H10" s="1">
        <v>445.51900000000001</v>
      </c>
      <c r="I10" s="1">
        <v>414.34809999999999</v>
      </c>
      <c r="J10" s="1">
        <v>383.92720000000003</v>
      </c>
      <c r="K10" s="1">
        <v>354.22669999999999</v>
      </c>
      <c r="L10" s="1">
        <v>325.1968</v>
      </c>
      <c r="M10" s="1">
        <v>296.84460000000001</v>
      </c>
      <c r="N10" s="1">
        <v>269.14229999999998</v>
      </c>
      <c r="O10" s="1">
        <v>242.0444</v>
      </c>
      <c r="P10" s="1">
        <v>215.59460000000001</v>
      </c>
      <c r="Q10" s="1">
        <v>189.73990000000001</v>
      </c>
      <c r="R10" s="1">
        <v>164.5565</v>
      </c>
      <c r="S10" s="1">
        <v>140.00149999999999</v>
      </c>
      <c r="T10" s="1">
        <v>116.16679999999999</v>
      </c>
      <c r="U10" s="1">
        <v>93.121420000000001</v>
      </c>
      <c r="V10" s="32">
        <v>80.183570000000003</v>
      </c>
      <c r="W10" s="1">
        <v>50.081560000000003</v>
      </c>
      <c r="X10" s="1">
        <v>30.832650000000001</v>
      </c>
      <c r="Y10" s="1">
        <v>14.37393</v>
      </c>
      <c r="Z10" s="1">
        <v>3.3498589999999999</v>
      </c>
      <c r="AA10" s="1">
        <v>0.17750830000000001</v>
      </c>
    </row>
    <row r="11" spans="1:27" x14ac:dyDescent="0.3">
      <c r="A11" s="3" t="s">
        <v>49</v>
      </c>
      <c r="B11" s="2" t="s">
        <v>5</v>
      </c>
      <c r="C11" s="1">
        <v>187.83799999999999</v>
      </c>
      <c r="D11" s="1">
        <v>223.4212</v>
      </c>
      <c r="E11" s="1">
        <v>258.05799999999999</v>
      </c>
      <c r="F11" s="1">
        <v>291.76190000000003</v>
      </c>
      <c r="G11" s="1">
        <v>324.59160000000003</v>
      </c>
      <c r="H11" s="1">
        <v>356.57479999999998</v>
      </c>
      <c r="I11" s="1">
        <v>387.74579999999997</v>
      </c>
      <c r="J11" s="1">
        <v>418.16660000000002</v>
      </c>
      <c r="K11" s="1">
        <v>447.8673</v>
      </c>
      <c r="L11" s="1">
        <v>476.8972</v>
      </c>
      <c r="M11" s="1">
        <v>505.24930000000001</v>
      </c>
      <c r="N11" s="1">
        <v>532.95140000000004</v>
      </c>
      <c r="O11" s="1">
        <v>560.04939999999999</v>
      </c>
      <c r="P11" s="1">
        <v>586.49929999999995</v>
      </c>
      <c r="Q11" s="1">
        <v>612.35389999999995</v>
      </c>
      <c r="R11" s="1">
        <v>637.53719999999998</v>
      </c>
      <c r="S11" s="1">
        <v>662.09230000000002</v>
      </c>
      <c r="T11" s="1">
        <v>685.9271</v>
      </c>
      <c r="U11" s="1">
        <v>708.97239999999999</v>
      </c>
      <c r="V11" s="32">
        <v>721.91010000000006</v>
      </c>
      <c r="W11" s="1">
        <v>752.01229999999998</v>
      </c>
      <c r="X11" s="1">
        <v>771.26110000000006</v>
      </c>
      <c r="Y11" s="1">
        <v>787.71990000000005</v>
      </c>
      <c r="Z11" s="1">
        <v>798.7441</v>
      </c>
      <c r="AA11" s="1">
        <v>801.91629999999998</v>
      </c>
    </row>
    <row r="12" spans="1:27" ht="18" x14ac:dyDescent="0.4">
      <c r="A12" s="3" t="s">
        <v>19</v>
      </c>
      <c r="B12" s="2" t="s">
        <v>8</v>
      </c>
      <c r="C12" s="33">
        <f>(C9-C10)/C9*100</f>
        <v>23.418445573323218</v>
      </c>
      <c r="D12" s="33">
        <f t="shared" ref="D12:AA12" si="2">(D9-D10)/D9*100</f>
        <v>27.854747162987671</v>
      </c>
      <c r="E12" s="33">
        <f t="shared" si="2"/>
        <v>32.173045097717996</v>
      </c>
      <c r="F12" s="33">
        <f t="shared" si="2"/>
        <v>36.375047407173575</v>
      </c>
      <c r="G12" s="33">
        <f t="shared" si="2"/>
        <v>40.468022567934078</v>
      </c>
      <c r="H12" s="33">
        <f t="shared" si="2"/>
        <v>44.455498845646233</v>
      </c>
      <c r="I12" s="33">
        <f t="shared" si="2"/>
        <v>48.341690211294491</v>
      </c>
      <c r="J12" s="33">
        <f t="shared" si="2"/>
        <v>52.134376303619348</v>
      </c>
      <c r="K12" s="33">
        <f t="shared" si="2"/>
        <v>55.837247464074643</v>
      </c>
      <c r="L12" s="33">
        <f t="shared" si="2"/>
        <v>59.456512442809064</v>
      </c>
      <c r="M12" s="33">
        <f t="shared" si="2"/>
        <v>62.991286056568441</v>
      </c>
      <c r="N12" s="33">
        <f t="shared" si="2"/>
        <v>66.445034234150668</v>
      </c>
      <c r="O12" s="33">
        <f t="shared" si="2"/>
        <v>69.823429628804007</v>
      </c>
      <c r="P12" s="33">
        <f t="shared" si="2"/>
        <v>73.12102399993617</v>
      </c>
      <c r="Q12" s="33">
        <f t="shared" si="2"/>
        <v>76.344425053528653</v>
      </c>
      <c r="R12" s="33">
        <f t="shared" si="2"/>
        <v>79.484132653811812</v>
      </c>
      <c r="S12" s="33">
        <f t="shared" si="2"/>
        <v>82.545495302419752</v>
      </c>
      <c r="T12" s="33">
        <f t="shared" si="2"/>
        <v>85.517055486527894</v>
      </c>
      <c r="U12" s="33">
        <f t="shared" si="2"/>
        <v>88.390208227516524</v>
      </c>
      <c r="V12" s="34">
        <f t="shared" si="2"/>
        <v>90.003217828139299</v>
      </c>
      <c r="W12" s="33">
        <f t="shared" si="2"/>
        <v>93.756146724984035</v>
      </c>
      <c r="X12" s="33">
        <f t="shared" si="2"/>
        <v>96.155979512620604</v>
      </c>
      <c r="Y12" s="33">
        <f t="shared" si="2"/>
        <v>98.207948995491563</v>
      </c>
      <c r="Z12" s="33">
        <f t="shared" si="2"/>
        <v>99.582360691480218</v>
      </c>
      <c r="AA12" s="33">
        <f t="shared" si="2"/>
        <v>99.977869383855094</v>
      </c>
    </row>
    <row r="13" spans="1:27" x14ac:dyDescent="0.3">
      <c r="A13" s="3" t="s">
        <v>20</v>
      </c>
      <c r="B13" s="2" t="s">
        <v>1</v>
      </c>
      <c r="C13" s="1">
        <v>39.995780000000003</v>
      </c>
      <c r="D13" s="1">
        <v>42.383040000000001</v>
      </c>
      <c r="E13" s="1">
        <v>44.365670000000001</v>
      </c>
      <c r="F13" s="1">
        <v>46.034709999999997</v>
      </c>
      <c r="G13" s="1">
        <v>47.455669999999998</v>
      </c>
      <c r="H13" s="1">
        <v>48.679969999999997</v>
      </c>
      <c r="I13" s="1">
        <v>49.73516</v>
      </c>
      <c r="J13" s="1">
        <v>50.656930000000003</v>
      </c>
      <c r="K13" s="1">
        <v>51.462359999999997</v>
      </c>
      <c r="L13" s="1">
        <v>52.16769</v>
      </c>
      <c r="M13" s="1">
        <v>52.785640000000001</v>
      </c>
      <c r="N13" s="1">
        <v>53.323630000000001</v>
      </c>
      <c r="O13" s="1">
        <v>53.791629999999998</v>
      </c>
      <c r="P13" s="1">
        <v>54.193950000000001</v>
      </c>
      <c r="Q13" s="1">
        <v>54.533439999999999</v>
      </c>
      <c r="R13" s="1">
        <v>54.813220000000001</v>
      </c>
      <c r="S13" s="1">
        <v>55.031799999999997</v>
      </c>
      <c r="T13" s="1">
        <v>55.188009999999998</v>
      </c>
      <c r="U13" s="1">
        <v>55.275019999999998</v>
      </c>
      <c r="V13" s="32">
        <v>55.288960000000003</v>
      </c>
      <c r="W13" s="1">
        <v>55.180149999999998</v>
      </c>
      <c r="X13" s="1">
        <v>54.927700000000002</v>
      </c>
      <c r="Y13" s="1">
        <v>54.415410000000001</v>
      </c>
      <c r="Z13" s="1">
        <v>53.38259</v>
      </c>
      <c r="AA13" s="1">
        <v>51.596330000000002</v>
      </c>
    </row>
    <row r="14" spans="1:27" ht="18" x14ac:dyDescent="0.4">
      <c r="A14" s="3" t="s">
        <v>21</v>
      </c>
      <c r="B14" s="2" t="s">
        <v>1</v>
      </c>
      <c r="C14" s="1">
        <v>18.472110000000001</v>
      </c>
      <c r="D14" s="1">
        <v>19.81109</v>
      </c>
      <c r="E14" s="1">
        <v>21.239239999999999</v>
      </c>
      <c r="F14" s="1">
        <v>22.68676</v>
      </c>
      <c r="G14" s="1">
        <v>24.115590000000001</v>
      </c>
      <c r="H14" s="1">
        <v>25.502780000000001</v>
      </c>
      <c r="I14" s="1">
        <v>26.838229999999999</v>
      </c>
      <c r="J14" s="1">
        <v>28.11872</v>
      </c>
      <c r="K14" s="1">
        <v>29.344239999999999</v>
      </c>
      <c r="L14" s="1">
        <v>30.518139999999999</v>
      </c>
      <c r="M14" s="1">
        <v>31.639289999999999</v>
      </c>
      <c r="N14" s="1">
        <v>32.715449999999997</v>
      </c>
      <c r="O14" s="1">
        <v>33.749139999999997</v>
      </c>
      <c r="P14" s="1">
        <v>34.743200000000002</v>
      </c>
      <c r="Q14" s="1">
        <v>35.705249999999999</v>
      </c>
      <c r="R14" s="1">
        <v>36.636780000000002</v>
      </c>
      <c r="S14" s="1">
        <v>37.547699999999999</v>
      </c>
      <c r="T14" s="1">
        <v>38.440809999999999</v>
      </c>
      <c r="U14" s="1">
        <v>39.328000000000003</v>
      </c>
      <c r="V14" s="32">
        <v>39.843499999999999</v>
      </c>
      <c r="W14" s="1">
        <v>41.140259999999998</v>
      </c>
      <c r="X14" s="1">
        <v>42.121540000000003</v>
      </c>
      <c r="Y14" s="1">
        <v>43.24286</v>
      </c>
      <c r="Z14" s="1">
        <v>44.672199999999997</v>
      </c>
      <c r="AA14" s="1">
        <v>46.480670000000003</v>
      </c>
    </row>
    <row r="15" spans="1:27" x14ac:dyDescent="0.3">
      <c r="A15" s="3" t="s">
        <v>57</v>
      </c>
      <c r="B15" s="2" t="s">
        <v>5</v>
      </c>
      <c r="C15" s="1">
        <v>1.0302130000000001E-3</v>
      </c>
      <c r="D15" s="1">
        <v>1.472454E-3</v>
      </c>
      <c r="E15" s="1">
        <v>1.9766990000000002E-3</v>
      </c>
      <c r="F15" s="1">
        <v>2.5308890000000001E-3</v>
      </c>
      <c r="G15" s="1">
        <v>3.1251149999999999E-3</v>
      </c>
      <c r="H15" s="1">
        <v>3.7478210000000001E-3</v>
      </c>
      <c r="I15" s="1">
        <v>4.3972270000000001E-3</v>
      </c>
      <c r="J15" s="1">
        <v>5.0606999999999996E-3</v>
      </c>
      <c r="K15" s="1">
        <v>5.7345319999999997E-3</v>
      </c>
      <c r="L15" s="1">
        <v>6.4145010000000004E-3</v>
      </c>
      <c r="M15" s="1">
        <v>7.0939499999999999E-3</v>
      </c>
      <c r="N15" s="1">
        <v>7.7782850000000002E-3</v>
      </c>
      <c r="O15" s="1">
        <v>8.4575410000000007E-3</v>
      </c>
      <c r="P15" s="1">
        <v>9.1324100000000005E-3</v>
      </c>
      <c r="Q15" s="1">
        <v>9.8013119999999995E-3</v>
      </c>
      <c r="R15" s="1">
        <v>1.046451E-2</v>
      </c>
      <c r="S15" s="1">
        <v>1.1121249999999999E-2</v>
      </c>
      <c r="T15" s="1">
        <v>1.177345E-2</v>
      </c>
      <c r="U15" s="1">
        <v>1.242153E-2</v>
      </c>
      <c r="V15" s="32">
        <v>1.2794949999999999E-2</v>
      </c>
      <c r="W15" s="1">
        <v>1.3704900000000001E-2</v>
      </c>
      <c r="X15" s="1">
        <v>1.432892E-2</v>
      </c>
      <c r="Y15" s="1">
        <v>1.4881470000000001E-2</v>
      </c>
      <c r="Z15" s="1">
        <v>1.5052350000000001E-2</v>
      </c>
      <c r="AA15" s="1">
        <v>1.3888090000000001E-2</v>
      </c>
    </row>
    <row r="16" spans="1:27" ht="18" x14ac:dyDescent="0.4">
      <c r="A16" s="3" t="s">
        <v>22</v>
      </c>
      <c r="B16" s="2" t="s">
        <v>56</v>
      </c>
      <c r="C16" s="1">
        <f>4268.074/7205.4</f>
        <v>0.59234379770727508</v>
      </c>
      <c r="D16" s="1">
        <f>5076.601/8646.479</f>
        <v>0.58712928117907881</v>
      </c>
      <c r="E16" s="1">
        <f>5863.623/10087.56</f>
        <v>0.58127267644504721</v>
      </c>
      <c r="F16" s="1">
        <f>6629.447/11528.63</f>
        <v>0.57504204749393473</v>
      </c>
      <c r="G16" s="1">
        <f>7375.406/12969.71</f>
        <v>0.56866390998719329</v>
      </c>
      <c r="H16" s="1">
        <f>8102.131/14410.79</f>
        <v>0.56222670651643658</v>
      </c>
      <c r="I16" s="1">
        <f>8810.401/15851.86</f>
        <v>0.55579603907680231</v>
      </c>
      <c r="J16" s="1">
        <f>9501.627/17292.93</f>
        <v>0.54945153886588338</v>
      </c>
      <c r="K16" s="1">
        <f>10176.49/18734.01</f>
        <v>0.54320938229455418</v>
      </c>
      <c r="L16" s="1">
        <f>10836.11/20175.09</f>
        <v>0.53710342803923061</v>
      </c>
      <c r="M16" s="1">
        <f>11480.33/21616.16</f>
        <v>0.53109941821304063</v>
      </c>
      <c r="N16" s="1">
        <f>12109.78/23057.24</f>
        <v>0.52520509826848316</v>
      </c>
      <c r="O16" s="1">
        <f>12725.5/24498.32</f>
        <v>0.51944378226751875</v>
      </c>
      <c r="P16" s="1">
        <f>13326.5/25939.39</f>
        <v>0.51375533503293636</v>
      </c>
      <c r="Q16" s="1">
        <f>13913.97/27380.46</f>
        <v>0.50817152085830553</v>
      </c>
      <c r="R16" s="1">
        <f>14486.19/28821.54</f>
        <v>0.502616792857009</v>
      </c>
      <c r="S16" s="1">
        <f>15044.13/30262.61</f>
        <v>0.49711938263090988</v>
      </c>
      <c r="T16" s="1">
        <f>15585.71/31703.7</f>
        <v>0.49160539621558363</v>
      </c>
      <c r="U16" s="1">
        <f>16109.35/33144.77</f>
        <v>0.48602992266954942</v>
      </c>
      <c r="V16" s="32">
        <f>16403.32/33980.59</f>
        <v>0.48272616808595736</v>
      </c>
      <c r="W16" s="1">
        <f>17087.31/36026.92</f>
        <v>0.47429283435830766</v>
      </c>
      <c r="X16" s="1">
        <f>17524.68/37468</f>
        <v>0.46772392441550126</v>
      </c>
      <c r="Y16" s="1">
        <f>17898.66/38909.07</f>
        <v>0.460012536922625</v>
      </c>
      <c r="Z16" s="1">
        <f>18149.15/40350.16</f>
        <v>0.4497912771597436</v>
      </c>
      <c r="AA16" s="1">
        <f>18221.23/41791.25</f>
        <v>0.43600586247121109</v>
      </c>
    </row>
    <row r="17" spans="1:27" ht="18" x14ac:dyDescent="0.4">
      <c r="A17" s="3" t="s">
        <v>23</v>
      </c>
      <c r="B17" s="2" t="s">
        <v>1</v>
      </c>
      <c r="C17" s="1">
        <v>65</v>
      </c>
      <c r="D17" s="1">
        <v>65</v>
      </c>
      <c r="E17" s="1">
        <v>65</v>
      </c>
      <c r="F17" s="1">
        <v>65</v>
      </c>
      <c r="G17" s="1">
        <v>65</v>
      </c>
      <c r="H17" s="1">
        <v>65</v>
      </c>
      <c r="I17" s="1">
        <v>65</v>
      </c>
      <c r="J17" s="1">
        <v>65</v>
      </c>
      <c r="K17" s="1">
        <v>65</v>
      </c>
      <c r="L17" s="1">
        <v>65</v>
      </c>
      <c r="M17" s="1">
        <v>65</v>
      </c>
      <c r="N17" s="1">
        <v>65</v>
      </c>
      <c r="O17" s="1">
        <v>65</v>
      </c>
      <c r="P17" s="1">
        <v>65</v>
      </c>
      <c r="Q17" s="1">
        <v>65</v>
      </c>
      <c r="R17" s="1">
        <v>65</v>
      </c>
      <c r="S17" s="1">
        <v>65</v>
      </c>
      <c r="T17" s="1">
        <v>65</v>
      </c>
      <c r="U17" s="1">
        <v>65</v>
      </c>
      <c r="V17" s="32">
        <v>65</v>
      </c>
      <c r="W17" s="1">
        <v>65</v>
      </c>
      <c r="X17" s="1">
        <v>65</v>
      </c>
      <c r="Y17" s="1">
        <v>65</v>
      </c>
      <c r="Z17" s="1">
        <v>65</v>
      </c>
      <c r="AA17" s="1">
        <v>65</v>
      </c>
    </row>
    <row r="18" spans="1:27" ht="18" x14ac:dyDescent="0.4">
      <c r="A18" s="3" t="s">
        <v>24</v>
      </c>
      <c r="B18" s="2" t="s">
        <v>56</v>
      </c>
      <c r="C18" s="1">
        <f>1513.134/7205.398</f>
        <v>0.21000005828963231</v>
      </c>
      <c r="D18" s="1">
        <f>1815.76/8646.476</f>
        <v>0.21000000462616214</v>
      </c>
      <c r="E18" s="1">
        <f>2118.386/10087.55</f>
        <v>0.21000004956604926</v>
      </c>
      <c r="F18" s="1">
        <f>2421.012/11528.63</f>
        <v>0.20999997397782741</v>
      </c>
      <c r="G18" s="1">
        <f>2723.638/12969.71</f>
        <v>0.20999991518700112</v>
      </c>
      <c r="H18" s="1">
        <f>3026.264/14410.78</f>
        <v>0.21000001387849929</v>
      </c>
      <c r="I18" s="1">
        <f>3328.89/15851.86</f>
        <v>0.20999996214955216</v>
      </c>
      <c r="J18" s="1">
        <f>3631.515/17292.93</f>
        <v>0.20999998265186987</v>
      </c>
      <c r="K18" s="1">
        <f>3934.14/18734.01</f>
        <v>0.20999988790440488</v>
      </c>
      <c r="L18" s="1">
        <f>4236.768/20175.08</f>
        <v>0.21000005947931805</v>
      </c>
      <c r="M18" s="1">
        <f>4539.394/21616.16</f>
        <v>0.21000001850467429</v>
      </c>
      <c r="N18" s="1">
        <f>4842.019/23057.23</f>
        <v>0.21000003035924092</v>
      </c>
      <c r="O18" s="1">
        <f>5144.646/24498.31</f>
        <v>0.21000003673722797</v>
      </c>
      <c r="P18" s="1">
        <f>5447.271/25939.38</f>
        <v>0.2100000462617071</v>
      </c>
      <c r="Q18" s="1">
        <f>5749.896/27380.46</f>
        <v>0.20999997808656246</v>
      </c>
      <c r="R18" s="1">
        <f>6052.522/28821.54</f>
        <v>0.20999995142521877</v>
      </c>
      <c r="S18" s="1">
        <f>6355.146/30262.61</f>
        <v>0.20999993060743932</v>
      </c>
      <c r="T18" s="1">
        <f>6657.773/31703.69</f>
        <v>0.20999994007006756</v>
      </c>
      <c r="U18" s="1">
        <f>6960.4/33144.77</f>
        <v>0.2099999487098568</v>
      </c>
      <c r="V18" s="32">
        <f>7141.976/34009.41</f>
        <v>0.20999999705963729</v>
      </c>
      <c r="W18" s="1">
        <f>7565.651/36026.91</f>
        <v>0.20999999722429705</v>
      </c>
      <c r="X18" s="1">
        <f>7868.276/37467.99</f>
        <v>0.20999994929004734</v>
      </c>
      <c r="Y18" s="1">
        <f>8170.901/38909.06</f>
        <v>0.209999958878472</v>
      </c>
      <c r="Z18" s="1">
        <f>8473.53/40350.15</f>
        <v>0.20999996282541702</v>
      </c>
      <c r="AA18" s="1">
        <f>8776.161/41791.24</f>
        <v>0.2100000143570758</v>
      </c>
    </row>
    <row r="19" spans="1:27" x14ac:dyDescent="0.3">
      <c r="A19" s="3" t="s">
        <v>25</v>
      </c>
      <c r="B19" s="2" t="s">
        <v>10</v>
      </c>
      <c r="C19" s="1">
        <v>594.48400000000004</v>
      </c>
      <c r="D19" s="1">
        <v>716.21699999999998</v>
      </c>
      <c r="E19" s="1">
        <v>838.41399999999999</v>
      </c>
      <c r="F19" s="1">
        <v>961.19799999999998</v>
      </c>
      <c r="G19" s="1">
        <v>1084.44</v>
      </c>
      <c r="H19" s="1">
        <v>1208.1600000000001</v>
      </c>
      <c r="I19" s="1">
        <v>1332.27</v>
      </c>
      <c r="J19" s="1">
        <v>1456.84</v>
      </c>
      <c r="K19" s="1">
        <v>1581.75</v>
      </c>
      <c r="L19" s="1">
        <v>1706.95</v>
      </c>
      <c r="M19" s="1">
        <v>1832.35</v>
      </c>
      <c r="N19" s="1">
        <v>1957.91</v>
      </c>
      <c r="O19" s="1">
        <v>2082.87</v>
      </c>
      <c r="P19" s="1">
        <v>2204.6999999999998</v>
      </c>
      <c r="Q19" s="1">
        <v>2322.8000000000002</v>
      </c>
      <c r="R19" s="1">
        <v>2438.31</v>
      </c>
      <c r="S19" s="1">
        <v>2552.58</v>
      </c>
      <c r="T19" s="1">
        <v>2665.72</v>
      </c>
      <c r="U19" s="1">
        <v>2777.8</v>
      </c>
      <c r="V19" s="32">
        <v>2842.2</v>
      </c>
      <c r="W19" s="1">
        <v>2997.84</v>
      </c>
      <c r="X19" s="1">
        <v>3105.02</v>
      </c>
      <c r="Y19" s="1">
        <v>3208.5</v>
      </c>
      <c r="Z19" s="1">
        <v>3305.04</v>
      </c>
      <c r="AA19" s="1">
        <v>3390.79</v>
      </c>
    </row>
    <row r="20" spans="1:27" ht="18" x14ac:dyDescent="0.4">
      <c r="A20" s="3" t="s">
        <v>26</v>
      </c>
      <c r="B20" s="2" t="s">
        <v>1</v>
      </c>
      <c r="C20" s="1">
        <v>112.55880000000001</v>
      </c>
      <c r="D20" s="1">
        <v>112.56180000000001</v>
      </c>
      <c r="E20" s="1">
        <v>112.5624</v>
      </c>
      <c r="F20" s="1">
        <v>112.5651</v>
      </c>
      <c r="G20" s="1">
        <v>112.5676</v>
      </c>
      <c r="H20" s="1">
        <v>112.5685</v>
      </c>
      <c r="I20" s="1">
        <v>112.5699</v>
      </c>
      <c r="J20" s="1">
        <v>112.572</v>
      </c>
      <c r="K20" s="1">
        <v>112.5733</v>
      </c>
      <c r="L20" s="1">
        <v>112.5757</v>
      </c>
      <c r="M20" s="1">
        <v>112.5762</v>
      </c>
      <c r="N20" s="1">
        <v>112.5789</v>
      </c>
      <c r="O20" s="1">
        <v>112.57989999999999</v>
      </c>
      <c r="P20" s="1">
        <v>112.58029999999999</v>
      </c>
      <c r="Q20" s="1">
        <v>112.5829</v>
      </c>
      <c r="R20" s="1">
        <v>112.58410000000001</v>
      </c>
      <c r="S20" s="1">
        <v>112.58450000000001</v>
      </c>
      <c r="T20" s="1">
        <v>112.5861</v>
      </c>
      <c r="U20" s="1">
        <v>112.5883</v>
      </c>
      <c r="V20" s="32">
        <v>112.5886</v>
      </c>
      <c r="W20" s="1">
        <v>112.5894</v>
      </c>
      <c r="X20" s="1">
        <v>112.592</v>
      </c>
      <c r="Y20" s="1">
        <v>112.59350000000001</v>
      </c>
      <c r="Z20" s="1">
        <v>112.5966</v>
      </c>
      <c r="AA20" s="1">
        <v>112.5986</v>
      </c>
    </row>
    <row r="21" spans="1:27" x14ac:dyDescent="0.3">
      <c r="A21" s="3" t="s">
        <v>58</v>
      </c>
      <c r="B21" s="2" t="s">
        <v>5</v>
      </c>
      <c r="C21" s="1">
        <v>2.3545860000000001E-4</v>
      </c>
      <c r="D21" s="1">
        <v>2.7698879999999999E-4</v>
      </c>
      <c r="E21" s="1">
        <v>3.1650070000000002E-4</v>
      </c>
      <c r="F21" s="1">
        <v>3.5388409999999998E-4</v>
      </c>
      <c r="G21" s="1">
        <v>3.8948029999999999E-4</v>
      </c>
      <c r="H21" s="1">
        <v>4.2325810000000001E-4</v>
      </c>
      <c r="I21" s="1">
        <v>4.5535440000000002E-4</v>
      </c>
      <c r="J21" s="1">
        <v>4.8600610000000002E-4</v>
      </c>
      <c r="K21" s="1">
        <v>5.150218E-4</v>
      </c>
      <c r="L21" s="1">
        <v>5.4320279999999996E-4</v>
      </c>
      <c r="M21" s="1">
        <v>5.7012830000000003E-4</v>
      </c>
      <c r="N21" s="1">
        <v>5.961254E-4</v>
      </c>
      <c r="O21" s="1">
        <v>6.2285970000000004E-4</v>
      </c>
      <c r="P21" s="1">
        <v>6.5546110000000001E-4</v>
      </c>
      <c r="Q21" s="1">
        <v>6.9517340000000002E-4</v>
      </c>
      <c r="R21" s="1">
        <v>7.3917769999999995E-4</v>
      </c>
      <c r="S21" s="1">
        <v>7.8498990000000002E-4</v>
      </c>
      <c r="T21" s="1">
        <v>8.3193739999999996E-4</v>
      </c>
      <c r="U21" s="1">
        <v>8.799767E-4</v>
      </c>
      <c r="V21" s="32">
        <v>9.082138E-4</v>
      </c>
      <c r="W21" s="1">
        <v>9.7942639999999996E-4</v>
      </c>
      <c r="X21" s="1">
        <v>1.031695E-3</v>
      </c>
      <c r="Y21" s="1">
        <v>1.0867190000000001E-3</v>
      </c>
      <c r="Z21" s="1">
        <v>1.1471610000000001E-3</v>
      </c>
      <c r="AA21" s="1">
        <v>1.2140670000000001E-3</v>
      </c>
    </row>
    <row r="22" spans="1:27" x14ac:dyDescent="0.3">
      <c r="A22" s="3" t="s">
        <v>59</v>
      </c>
      <c r="B22" s="2" t="s">
        <v>5</v>
      </c>
      <c r="C22" s="1">
        <f>C21+C15</f>
        <v>1.2656716000000001E-3</v>
      </c>
      <c r="D22" s="1">
        <f t="shared" ref="D22:R22" si="3">D21+D15</f>
        <v>1.7494428E-3</v>
      </c>
      <c r="E22" s="1">
        <f t="shared" si="3"/>
        <v>2.2931997000000003E-3</v>
      </c>
      <c r="F22" s="1">
        <f t="shared" si="3"/>
        <v>2.8847731000000002E-3</v>
      </c>
      <c r="G22" s="1">
        <f t="shared" si="3"/>
        <v>3.5145952999999998E-3</v>
      </c>
      <c r="H22" s="1">
        <f t="shared" si="3"/>
        <v>4.1710790999999999E-3</v>
      </c>
      <c r="I22" s="1">
        <f t="shared" si="3"/>
        <v>4.8525814E-3</v>
      </c>
      <c r="J22" s="1">
        <f t="shared" si="3"/>
        <v>5.5467060999999998E-3</v>
      </c>
      <c r="K22" s="1">
        <f t="shared" si="3"/>
        <v>6.2495538E-3</v>
      </c>
      <c r="L22" s="1">
        <f t="shared" si="3"/>
        <v>6.9577038000000003E-3</v>
      </c>
      <c r="M22" s="1">
        <f t="shared" si="3"/>
        <v>7.6640783000000001E-3</v>
      </c>
      <c r="N22" s="1">
        <f t="shared" si="3"/>
        <v>8.3744104000000007E-3</v>
      </c>
      <c r="O22" s="1">
        <f t="shared" si="3"/>
        <v>9.0804007000000013E-3</v>
      </c>
      <c r="P22" s="1">
        <f t="shared" si="3"/>
        <v>9.7878711000000014E-3</v>
      </c>
      <c r="Q22" s="1">
        <f t="shared" si="3"/>
        <v>1.04964854E-2</v>
      </c>
      <c r="R22" s="1">
        <f t="shared" si="3"/>
        <v>1.1203687699999999E-2</v>
      </c>
      <c r="S22" s="1">
        <f t="shared" ref="S22:AA22" si="4">S21+S15</f>
        <v>1.1906239899999999E-2</v>
      </c>
      <c r="T22" s="1">
        <f t="shared" si="4"/>
        <v>1.2605387399999999E-2</v>
      </c>
      <c r="U22" s="1">
        <f t="shared" si="4"/>
        <v>1.33015067E-2</v>
      </c>
      <c r="V22" s="32">
        <f t="shared" si="4"/>
        <v>1.3703163799999999E-2</v>
      </c>
      <c r="W22" s="1">
        <f t="shared" si="4"/>
        <v>1.4684326400000001E-2</v>
      </c>
      <c r="X22" s="1">
        <f t="shared" si="4"/>
        <v>1.5360615000000001E-2</v>
      </c>
      <c r="Y22" s="1">
        <f t="shared" si="4"/>
        <v>1.5968189000000001E-2</v>
      </c>
      <c r="Z22" s="1">
        <f t="shared" si="4"/>
        <v>1.6199511E-2</v>
      </c>
      <c r="AA22" s="1">
        <f t="shared" si="4"/>
        <v>1.5102157000000001E-2</v>
      </c>
    </row>
    <row r="23" spans="1:27" x14ac:dyDescent="0.3">
      <c r="A23" s="3" t="s">
        <v>60</v>
      </c>
      <c r="B23" s="2" t="s">
        <v>52</v>
      </c>
      <c r="C23" s="1">
        <f>C22/C11*1000</f>
        <v>6.7381019814946926E-3</v>
      </c>
      <c r="D23" s="1">
        <f t="shared" ref="D23:R23" si="5">D22/D11*1000</f>
        <v>7.8302452945378503E-3</v>
      </c>
      <c r="E23" s="1">
        <f t="shared" si="5"/>
        <v>8.8863732184237681E-3</v>
      </c>
      <c r="F23" s="1">
        <f t="shared" si="5"/>
        <v>9.8874222439598869E-3</v>
      </c>
      <c r="G23" s="1">
        <f t="shared" si="5"/>
        <v>1.082774569643823E-2</v>
      </c>
      <c r="H23" s="1">
        <f t="shared" si="5"/>
        <v>1.1697627258011503E-2</v>
      </c>
      <c r="I23" s="1">
        <f t="shared" si="5"/>
        <v>1.2514852256297813E-2</v>
      </c>
      <c r="J23" s="1">
        <f t="shared" si="5"/>
        <v>1.326434511986371E-2</v>
      </c>
      <c r="K23" s="1">
        <f t="shared" si="5"/>
        <v>1.395403013347927E-2</v>
      </c>
      <c r="L23" s="1">
        <f t="shared" si="5"/>
        <v>1.458952537360253E-2</v>
      </c>
      <c r="M23" s="1">
        <f t="shared" si="5"/>
        <v>1.5168904340886765E-2</v>
      </c>
      <c r="N23" s="1">
        <f t="shared" si="5"/>
        <v>1.5713272167030615E-2</v>
      </c>
      <c r="O23" s="1">
        <f t="shared" si="5"/>
        <v>1.6213570981417E-2</v>
      </c>
      <c r="P23" s="1">
        <f t="shared" si="5"/>
        <v>1.668863219444593E-2</v>
      </c>
      <c r="Q23" s="1">
        <f t="shared" si="5"/>
        <v>1.7141207723180993E-2</v>
      </c>
      <c r="R23" s="1">
        <f t="shared" si="5"/>
        <v>1.7573386619635686E-2</v>
      </c>
      <c r="S23" s="1">
        <f t="shared" ref="S23:AA23" si="6">S22/S11*1000</f>
        <v>1.7982749384036031E-2</v>
      </c>
      <c r="T23" s="1">
        <f t="shared" si="6"/>
        <v>1.8377153198933238E-2</v>
      </c>
      <c r="U23" s="1">
        <f t="shared" si="6"/>
        <v>1.87616706940919E-2</v>
      </c>
      <c r="V23" s="32">
        <f t="shared" si="6"/>
        <v>1.898181477167309E-2</v>
      </c>
      <c r="W23" s="1">
        <f t="shared" si="6"/>
        <v>1.9526710400880415E-2</v>
      </c>
      <c r="X23" s="1">
        <f t="shared" si="6"/>
        <v>1.991623199977284E-2</v>
      </c>
      <c r="Y23" s="1">
        <f t="shared" si="6"/>
        <v>2.0271404848347743E-2</v>
      </c>
      <c r="Z23" s="1">
        <f t="shared" si="6"/>
        <v>2.0281227742402104E-2</v>
      </c>
      <c r="AA23" s="1">
        <f t="shared" si="6"/>
        <v>1.8832585146355052E-2</v>
      </c>
    </row>
    <row r="24" spans="1:27" x14ac:dyDescent="0.3">
      <c r="A24" s="3" t="s">
        <v>34</v>
      </c>
      <c r="B24" s="2" t="s">
        <v>28</v>
      </c>
      <c r="C24" s="1">
        <f>C19/C11</f>
        <v>3.1648761166537125</v>
      </c>
      <c r="D24" s="1">
        <f t="shared" ref="D24:Y24" si="7">D19/D11</f>
        <v>3.2056805710469729</v>
      </c>
      <c r="E24" s="1">
        <f t="shared" si="7"/>
        <v>3.2489362856412125</v>
      </c>
      <c r="F24" s="1">
        <f t="shared" si="7"/>
        <v>3.2944603116445288</v>
      </c>
      <c r="G24" s="1">
        <f t="shared" si="7"/>
        <v>3.3409367340374794</v>
      </c>
      <c r="H24" s="1">
        <f t="shared" si="7"/>
        <v>3.3882371945521674</v>
      </c>
      <c r="I24" s="1">
        <f t="shared" si="7"/>
        <v>3.4359366368378459</v>
      </c>
      <c r="J24" s="1">
        <f t="shared" si="7"/>
        <v>3.4838746088281556</v>
      </c>
      <c r="K24" s="1">
        <f t="shared" si="7"/>
        <v>3.5317380840262285</v>
      </c>
      <c r="L24" s="1">
        <f t="shared" si="7"/>
        <v>3.5792829146407237</v>
      </c>
      <c r="M24" s="1">
        <f t="shared" si="7"/>
        <v>3.6266255094267321</v>
      </c>
      <c r="N24" s="1">
        <f t="shared" si="7"/>
        <v>3.6737120870683517</v>
      </c>
      <c r="O24" s="1">
        <f t="shared" si="7"/>
        <v>3.7190826380672846</v>
      </c>
      <c r="P24" s="1">
        <f t="shared" si="7"/>
        <v>3.7590837704324627</v>
      </c>
      <c r="Q24" s="1">
        <f t="shared" si="7"/>
        <v>3.7932313324043503</v>
      </c>
      <c r="R24" s="1">
        <f t="shared" si="7"/>
        <v>3.8245768246935237</v>
      </c>
      <c r="S24" s="1">
        <f t="shared" si="7"/>
        <v>3.8553234949266133</v>
      </c>
      <c r="T24" s="1">
        <f t="shared" si="7"/>
        <v>3.8863022032516281</v>
      </c>
      <c r="U24" s="1">
        <f t="shared" si="7"/>
        <v>3.9180650755939164</v>
      </c>
      <c r="V24" s="32">
        <f t="shared" si="7"/>
        <v>3.9370553203231253</v>
      </c>
      <c r="W24" s="1">
        <f t="shared" si="7"/>
        <v>3.9864241582218805</v>
      </c>
      <c r="X24" s="1">
        <f t="shared" si="7"/>
        <v>4.0258999189768545</v>
      </c>
      <c r="Y24" s="1">
        <f t="shared" si="7"/>
        <v>4.0731483361027188</v>
      </c>
      <c r="Z24" s="1">
        <f>Z19/Z11</f>
        <v>4.1377958222164022</v>
      </c>
      <c r="AA24" s="1">
        <f>AA19/AA11</f>
        <v>4.2283589945733739</v>
      </c>
    </row>
    <row r="25" spans="1:27" x14ac:dyDescent="0.3">
      <c r="A25" s="150" t="s">
        <v>27</v>
      </c>
      <c r="B25" s="12" t="s">
        <v>36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32"/>
      <c r="W25" s="1"/>
      <c r="X25" s="1"/>
      <c r="Y25" s="1"/>
      <c r="Z25" s="1"/>
      <c r="AA25" s="1"/>
    </row>
    <row r="26" spans="1:27" x14ac:dyDescent="0.3">
      <c r="A26" s="150"/>
      <c r="B26" s="2" t="s">
        <v>11</v>
      </c>
      <c r="C26" s="1">
        <v>0.88888909999999999</v>
      </c>
      <c r="D26" s="1">
        <v>0.88897550000000003</v>
      </c>
      <c r="E26" s="1">
        <v>0.8890631</v>
      </c>
      <c r="F26" s="1">
        <v>0.88915979999999994</v>
      </c>
      <c r="G26" s="1">
        <v>0.88923739999999996</v>
      </c>
      <c r="H26" s="1">
        <v>0.88930640000000005</v>
      </c>
      <c r="I26" s="1">
        <v>0.88936380000000004</v>
      </c>
      <c r="J26" s="1">
        <v>0.88940339999999996</v>
      </c>
      <c r="K26" s="1">
        <v>0.88944690000000004</v>
      </c>
      <c r="L26" s="1">
        <v>0.88944529999999999</v>
      </c>
      <c r="M26" s="1">
        <v>0.88943269999999997</v>
      </c>
      <c r="N26" s="1">
        <v>0.88939259999999998</v>
      </c>
      <c r="O26" s="1">
        <v>0.88922829999999997</v>
      </c>
      <c r="P26" s="1">
        <v>0.88863199999999998</v>
      </c>
      <c r="Q26" s="1">
        <v>0.88758809999999999</v>
      </c>
      <c r="R26" s="1">
        <v>0.88630209999999998</v>
      </c>
      <c r="S26" s="1">
        <v>0.88494010000000001</v>
      </c>
      <c r="T26" s="1">
        <v>0.88353060000000005</v>
      </c>
      <c r="U26" s="1">
        <v>0.88206870000000004</v>
      </c>
      <c r="V26" s="32">
        <v>0.88119420000000004</v>
      </c>
      <c r="W26" s="1">
        <v>0.87890179999999996</v>
      </c>
      <c r="X26" s="1">
        <v>0.87707170000000001</v>
      </c>
      <c r="Y26" s="1">
        <v>0.87488129999999997</v>
      </c>
      <c r="Z26" s="1">
        <v>0.87189470000000002</v>
      </c>
      <c r="AA26" s="1">
        <v>0.86771830000000005</v>
      </c>
    </row>
    <row r="27" spans="1:27" x14ac:dyDescent="0.3">
      <c r="A27" s="150"/>
      <c r="B27" s="2" t="s">
        <v>12</v>
      </c>
      <c r="C27" s="1">
        <v>3.6591269999999999E-3</v>
      </c>
      <c r="D27" s="1">
        <v>3.4881259999999998E-3</v>
      </c>
      <c r="E27" s="1">
        <v>3.317263E-3</v>
      </c>
      <c r="F27" s="1">
        <v>3.1571820000000001E-3</v>
      </c>
      <c r="G27" s="1">
        <v>3.0111130000000002E-3</v>
      </c>
      <c r="H27" s="1">
        <v>2.880316E-3</v>
      </c>
      <c r="I27" s="1">
        <v>2.7640329999999999E-3</v>
      </c>
      <c r="J27" s="1">
        <v>2.6605499999999998E-3</v>
      </c>
      <c r="K27" s="1">
        <v>2.5684969999999999E-3</v>
      </c>
      <c r="L27" s="1">
        <v>2.4860160000000002E-3</v>
      </c>
      <c r="M27" s="1">
        <v>2.4126640000000001E-3</v>
      </c>
      <c r="N27" s="1">
        <v>2.346781E-3</v>
      </c>
      <c r="O27" s="1">
        <v>2.2870260000000002E-3</v>
      </c>
      <c r="P27" s="1">
        <v>2.2323239999999999E-3</v>
      </c>
      <c r="Q27" s="1">
        <v>2.1813449999999999E-3</v>
      </c>
      <c r="R27" s="1">
        <v>2.1346870000000001E-3</v>
      </c>
      <c r="S27" s="1">
        <v>2.0914309999999999E-3</v>
      </c>
      <c r="T27" s="1">
        <v>2.0517270000000002E-3</v>
      </c>
      <c r="U27" s="1">
        <v>2.0147440000000002E-3</v>
      </c>
      <c r="V27" s="32">
        <v>1.9945140000000002E-3</v>
      </c>
      <c r="W27" s="1">
        <v>1.9470679999999999E-3</v>
      </c>
      <c r="X27" s="1">
        <v>1.914897E-3</v>
      </c>
      <c r="Y27" s="1">
        <v>1.882206E-3</v>
      </c>
      <c r="Z27" s="1">
        <v>1.847537E-3</v>
      </c>
      <c r="AA27" s="1">
        <v>1.8174510000000001E-3</v>
      </c>
    </row>
    <row r="28" spans="1:27" x14ac:dyDescent="0.3">
      <c r="A28" s="150"/>
      <c r="B28" s="2" t="s">
        <v>13</v>
      </c>
      <c r="C28" s="1">
        <v>2.0398700000000001E-4</v>
      </c>
      <c r="D28" s="1">
        <v>2.0162509999999999E-4</v>
      </c>
      <c r="E28" s="1">
        <v>1.992447E-4</v>
      </c>
      <c r="F28" s="1">
        <v>1.971001E-4</v>
      </c>
      <c r="G28" s="1">
        <v>1.9525409999999999E-4</v>
      </c>
      <c r="H28" s="1">
        <v>1.9375769999999999E-4</v>
      </c>
      <c r="I28" s="1">
        <v>1.9260490000000001E-4</v>
      </c>
      <c r="J28" s="1">
        <v>1.917493E-4</v>
      </c>
      <c r="K28" s="1">
        <v>1.911731E-4</v>
      </c>
      <c r="L28" s="1">
        <v>1.9082039999999999E-4</v>
      </c>
      <c r="M28" s="1">
        <v>1.907105E-4</v>
      </c>
      <c r="N28" s="1">
        <v>1.9079909999999999E-4</v>
      </c>
      <c r="O28" s="1">
        <v>1.910336E-4</v>
      </c>
      <c r="P28" s="1">
        <v>1.9136789999999999E-4</v>
      </c>
      <c r="Q28" s="1">
        <v>1.9174980000000001E-4</v>
      </c>
      <c r="R28" s="1">
        <v>1.922615E-4</v>
      </c>
      <c r="S28" s="1">
        <v>1.9288829999999999E-4</v>
      </c>
      <c r="T28" s="1">
        <v>1.936776E-4</v>
      </c>
      <c r="U28" s="1">
        <v>1.9462700000000001E-4</v>
      </c>
      <c r="V28" s="32">
        <v>1.952724E-4</v>
      </c>
      <c r="W28" s="1">
        <v>1.9715640000000001E-4</v>
      </c>
      <c r="X28" s="1">
        <v>1.988967E-4</v>
      </c>
      <c r="Y28" s="1">
        <v>2.0125810000000001E-4</v>
      </c>
      <c r="Z28" s="1">
        <v>2.049718E-4</v>
      </c>
      <c r="AA28" s="1">
        <v>2.112111E-4</v>
      </c>
    </row>
    <row r="29" spans="1:27" x14ac:dyDescent="0.3">
      <c r="A29" s="150"/>
      <c r="B29" s="2" t="s">
        <v>14</v>
      </c>
      <c r="C29" s="35">
        <v>3.5667560000000001E-5</v>
      </c>
      <c r="D29" s="35">
        <v>3.5253519999999999E-5</v>
      </c>
      <c r="E29" s="35">
        <v>3.4829500000000003E-5</v>
      </c>
      <c r="F29" s="35">
        <v>3.4440010000000003E-5</v>
      </c>
      <c r="G29" s="35">
        <v>3.409667E-5</v>
      </c>
      <c r="H29" s="35">
        <v>3.3809339999999998E-5</v>
      </c>
      <c r="I29" s="35">
        <v>3.3577810000000003E-5</v>
      </c>
      <c r="J29" s="35">
        <v>3.3394700000000001E-5</v>
      </c>
      <c r="K29" s="35">
        <v>3.3257550000000001E-5</v>
      </c>
      <c r="L29" s="35">
        <v>3.3157059999999999E-5</v>
      </c>
      <c r="M29" s="35">
        <v>3.3096960000000002E-5</v>
      </c>
      <c r="N29" s="35">
        <v>3.3069779999999998E-5</v>
      </c>
      <c r="O29" s="35">
        <v>3.3066559999999997E-5</v>
      </c>
      <c r="P29" s="35">
        <v>3.3079459999999998E-5</v>
      </c>
      <c r="Q29" s="35">
        <v>3.3099429999999999E-5</v>
      </c>
      <c r="R29" s="35">
        <v>3.3140769999999997E-5</v>
      </c>
      <c r="S29" s="35">
        <v>3.3200610000000003E-5</v>
      </c>
      <c r="T29" s="35">
        <v>3.3286910000000002E-5</v>
      </c>
      <c r="U29" s="35">
        <v>3.3398670000000001E-5</v>
      </c>
      <c r="V29" s="36">
        <v>3.3478559999999999E-5</v>
      </c>
      <c r="W29" s="35">
        <v>3.3720270000000001E-5</v>
      </c>
      <c r="X29" s="35">
        <v>3.3953150000000002E-5</v>
      </c>
      <c r="Y29" s="35">
        <v>3.4278479999999999E-5</v>
      </c>
      <c r="Z29" s="35">
        <v>3.4805609999999998E-5</v>
      </c>
      <c r="AA29" s="35">
        <v>3.5720570000000003E-5</v>
      </c>
    </row>
    <row r="30" spans="1:27" x14ac:dyDescent="0.3">
      <c r="A30" s="150"/>
      <c r="B30" s="2" t="s">
        <v>15</v>
      </c>
      <c r="C30" s="1">
        <v>0.1072105</v>
      </c>
      <c r="D30" s="1">
        <v>0.1072979</v>
      </c>
      <c r="E30" s="1">
        <v>0.1073839</v>
      </c>
      <c r="F30" s="1">
        <v>0.1074498</v>
      </c>
      <c r="G30" s="1">
        <v>0.1075205</v>
      </c>
      <c r="H30" s="1">
        <v>0.1075841</v>
      </c>
      <c r="I30" s="1">
        <v>0.1076444</v>
      </c>
      <c r="J30" s="1">
        <v>0.1077091</v>
      </c>
      <c r="K30" s="1">
        <v>0.1077584</v>
      </c>
      <c r="L30" s="1">
        <v>0.10784290000000001</v>
      </c>
      <c r="M30" s="1">
        <v>0.1079291</v>
      </c>
      <c r="N30" s="1">
        <v>0.1080351</v>
      </c>
      <c r="O30" s="1">
        <v>0.10825899999999999</v>
      </c>
      <c r="P30" s="1">
        <v>0.1089096</v>
      </c>
      <c r="Q30" s="1">
        <v>0.110004</v>
      </c>
      <c r="R30" s="1">
        <v>0.11133609999999999</v>
      </c>
      <c r="S30" s="1">
        <v>0.1127406</v>
      </c>
      <c r="T30" s="1">
        <v>0.11418879999999999</v>
      </c>
      <c r="U30" s="1">
        <v>0.1156866</v>
      </c>
      <c r="V30" s="32">
        <v>0.11658060000000001</v>
      </c>
      <c r="W30" s="1">
        <v>0.1189181</v>
      </c>
      <c r="X30" s="1">
        <v>0.12077839999999999</v>
      </c>
      <c r="Y30" s="1">
        <v>0.1229987</v>
      </c>
      <c r="Z30" s="1">
        <v>0.12601560000000001</v>
      </c>
      <c r="AA30" s="1">
        <v>0.13021479999999999</v>
      </c>
    </row>
    <row r="31" spans="1:27" x14ac:dyDescent="0.3">
      <c r="A31" s="150"/>
      <c r="B31" s="2" t="s">
        <v>55</v>
      </c>
      <c r="C31" s="35">
        <v>1.7262300000000001E-6</v>
      </c>
      <c r="D31" s="35">
        <v>1.715817E-6</v>
      </c>
      <c r="E31" s="35">
        <v>1.707171E-6</v>
      </c>
      <c r="F31" s="35">
        <v>1.6989040000000001E-6</v>
      </c>
      <c r="G31" s="35">
        <v>1.6917409999999999E-6</v>
      </c>
      <c r="H31" s="35">
        <v>1.6849810000000001E-6</v>
      </c>
      <c r="I31" s="35">
        <v>1.6787159999999999E-6</v>
      </c>
      <c r="J31" s="35">
        <v>1.673181E-6</v>
      </c>
      <c r="K31" s="35">
        <v>1.667426E-6</v>
      </c>
      <c r="L31" s="35">
        <v>1.6635250000000001E-6</v>
      </c>
      <c r="M31" s="35">
        <v>1.660032E-6</v>
      </c>
      <c r="N31" s="35">
        <v>1.6575969999999999E-6</v>
      </c>
      <c r="O31" s="35">
        <v>1.6600979999999999E-6</v>
      </c>
      <c r="P31" s="35">
        <v>1.679708E-6</v>
      </c>
      <c r="Q31" s="35">
        <v>1.7173000000000001E-6</v>
      </c>
      <c r="R31" s="35">
        <v>1.7650729999999999E-6</v>
      </c>
      <c r="S31" s="35">
        <v>1.8165920000000001E-6</v>
      </c>
      <c r="T31" s="35">
        <v>1.870724E-6</v>
      </c>
      <c r="U31" s="35">
        <v>1.9277519999999999E-6</v>
      </c>
      <c r="V31" s="36">
        <v>1.9622320000000001E-6</v>
      </c>
      <c r="W31" s="35">
        <v>2.0542269999999999E-6</v>
      </c>
      <c r="X31" s="35">
        <v>2.1292159999999999E-6</v>
      </c>
      <c r="Y31" s="35">
        <v>2.2207639999999998E-6</v>
      </c>
      <c r="Z31" s="35">
        <v>2.348868E-6</v>
      </c>
      <c r="AA31" s="35">
        <v>2.5343399999999999E-6</v>
      </c>
    </row>
    <row r="32" spans="1:27" x14ac:dyDescent="0.3">
      <c r="A32" s="150" t="s">
        <v>27</v>
      </c>
      <c r="B32" s="12" t="s">
        <v>35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32"/>
      <c r="W32" s="1"/>
      <c r="X32" s="1"/>
      <c r="Y32" s="1"/>
      <c r="Z32" s="1"/>
      <c r="AA32" s="1"/>
    </row>
    <row r="33" spans="1:27" x14ac:dyDescent="0.3">
      <c r="A33" s="150"/>
      <c r="B33" s="2" t="s">
        <v>11</v>
      </c>
      <c r="C33" s="1">
        <v>0.77047860000000001</v>
      </c>
      <c r="D33" s="1">
        <v>0.77043450000000002</v>
      </c>
      <c r="E33" s="1">
        <v>0.77039290000000005</v>
      </c>
      <c r="F33" s="1">
        <v>0.77038070000000003</v>
      </c>
      <c r="G33" s="1">
        <v>0.77034999999999998</v>
      </c>
      <c r="H33" s="1">
        <v>0.7703219</v>
      </c>
      <c r="I33" s="1">
        <v>0.77028969999999997</v>
      </c>
      <c r="J33" s="1">
        <v>0.7702407</v>
      </c>
      <c r="K33" s="1">
        <v>0.7702118</v>
      </c>
      <c r="L33" s="1">
        <v>0.77011220000000002</v>
      </c>
      <c r="M33" s="1">
        <v>0.77000310000000005</v>
      </c>
      <c r="N33" s="1">
        <v>0.76985250000000005</v>
      </c>
      <c r="O33" s="1">
        <v>0.76948260000000002</v>
      </c>
      <c r="P33" s="1">
        <v>0.76833099999999999</v>
      </c>
      <c r="Q33" s="1">
        <v>0.76637129999999998</v>
      </c>
      <c r="R33" s="1">
        <v>0.76398310000000003</v>
      </c>
      <c r="S33" s="1">
        <v>0.76146970000000003</v>
      </c>
      <c r="T33" s="1">
        <v>0.75888389999999994</v>
      </c>
      <c r="U33" s="1">
        <v>0.75621649999999996</v>
      </c>
      <c r="V33" s="32">
        <v>0.75462779999999996</v>
      </c>
      <c r="W33" s="1">
        <v>0.75048680000000001</v>
      </c>
      <c r="X33" s="1">
        <v>0.74720419999999999</v>
      </c>
      <c r="Y33" s="1">
        <v>0.74330200000000002</v>
      </c>
      <c r="Z33" s="1">
        <v>0.73802670000000004</v>
      </c>
      <c r="AA33" s="1">
        <v>0.73073549999999998</v>
      </c>
    </row>
    <row r="34" spans="1:27" x14ac:dyDescent="0.3">
      <c r="A34" s="150"/>
      <c r="B34" s="2" t="s">
        <v>12</v>
      </c>
      <c r="C34" s="1">
        <v>2.1788179999999999E-3</v>
      </c>
      <c r="D34" s="1">
        <v>2.076675E-3</v>
      </c>
      <c r="E34" s="1">
        <v>1.9746500000000001E-3</v>
      </c>
      <c r="F34" s="1">
        <v>1.8791249999999999E-3</v>
      </c>
      <c r="G34" s="1">
        <v>1.7919590000000001E-3</v>
      </c>
      <c r="H34" s="1">
        <v>1.7139239999999999E-3</v>
      </c>
      <c r="I34" s="1">
        <v>1.644555E-3</v>
      </c>
      <c r="J34" s="1">
        <v>1.582813E-3</v>
      </c>
      <c r="K34" s="1">
        <v>1.5279169999999999E-3</v>
      </c>
      <c r="L34" s="1">
        <v>1.4786630000000001E-3</v>
      </c>
      <c r="M34" s="1">
        <v>1.434851E-3</v>
      </c>
      <c r="N34" s="1">
        <v>1.3954589999999999E-3</v>
      </c>
      <c r="O34" s="1">
        <v>1.3595250000000001E-3</v>
      </c>
      <c r="P34" s="1">
        <v>1.32591E-3</v>
      </c>
      <c r="Q34" s="1">
        <v>1.293846E-3</v>
      </c>
      <c r="R34" s="1">
        <v>1.2640570000000001E-3</v>
      </c>
      <c r="S34" s="1">
        <v>1.2362689999999999E-3</v>
      </c>
      <c r="T34" s="1">
        <v>1.2106090000000001E-3</v>
      </c>
      <c r="U34" s="1">
        <v>1.1865720000000001E-3</v>
      </c>
      <c r="V34" s="32">
        <v>1.173353E-3</v>
      </c>
      <c r="W34" s="1">
        <v>1.1421269999999999E-3</v>
      </c>
      <c r="X34" s="1">
        <v>1.1206759999999999E-3</v>
      </c>
      <c r="Y34" s="1">
        <v>1.0985350000000001E-3</v>
      </c>
      <c r="Z34" s="1">
        <v>1.0743149999999999E-3</v>
      </c>
      <c r="AA34" s="1">
        <v>1.0514159999999999E-3</v>
      </c>
    </row>
    <row r="35" spans="1:27" x14ac:dyDescent="0.3">
      <c r="A35" s="150"/>
      <c r="B35" s="2" t="s">
        <v>13</v>
      </c>
      <c r="C35" s="1">
        <v>2.7777409999999998E-4</v>
      </c>
      <c r="D35" s="1">
        <v>2.745154E-4</v>
      </c>
      <c r="E35" s="1">
        <v>2.7123309999999999E-4</v>
      </c>
      <c r="F35" s="1">
        <v>2.6828019999999999E-4</v>
      </c>
      <c r="G35" s="1">
        <v>2.6573379999999999E-4</v>
      </c>
      <c r="H35" s="1">
        <v>2.636672E-4</v>
      </c>
      <c r="I35" s="1">
        <v>2.6207059999999998E-4</v>
      </c>
      <c r="J35" s="1">
        <v>2.6087810000000001E-4</v>
      </c>
      <c r="K35" s="1">
        <v>2.6007169999999998E-4</v>
      </c>
      <c r="L35" s="1">
        <v>2.5955880000000001E-4</v>
      </c>
      <c r="M35" s="1">
        <v>2.5937619999999998E-4</v>
      </c>
      <c r="N35" s="1">
        <v>2.5945770000000001E-4</v>
      </c>
      <c r="O35" s="1">
        <v>2.5969969999999998E-4</v>
      </c>
      <c r="P35" s="1">
        <v>2.5993910000000003E-4</v>
      </c>
      <c r="Q35" s="1">
        <v>2.600991E-4</v>
      </c>
      <c r="R35" s="1">
        <v>2.6035780000000002E-4</v>
      </c>
      <c r="S35" s="1">
        <v>2.6074790000000001E-4</v>
      </c>
      <c r="T35" s="1">
        <v>2.613421E-4</v>
      </c>
      <c r="U35" s="1">
        <v>2.6213389999999999E-4</v>
      </c>
      <c r="V35" s="32">
        <v>2.62711E-4</v>
      </c>
      <c r="W35" s="1">
        <v>2.6447809999999999E-4</v>
      </c>
      <c r="X35" s="1">
        <v>2.6620000000000002E-4</v>
      </c>
      <c r="Y35" s="1">
        <v>2.6862460000000001E-4</v>
      </c>
      <c r="Z35" s="1">
        <v>2.7257019999999999E-4</v>
      </c>
      <c r="AA35" s="1">
        <v>2.7943089999999998E-4</v>
      </c>
    </row>
    <row r="36" spans="1:27" x14ac:dyDescent="0.3">
      <c r="A36" s="150"/>
      <c r="B36" s="2" t="s">
        <v>14</v>
      </c>
      <c r="C36" s="35">
        <v>4.2520790000000001E-5</v>
      </c>
      <c r="D36" s="35">
        <v>4.2020710000000003E-5</v>
      </c>
      <c r="E36" s="35">
        <v>4.1508960000000002E-5</v>
      </c>
      <c r="F36" s="35">
        <v>4.1039659999999997E-5</v>
      </c>
      <c r="G36" s="35">
        <v>4.0625369999999997E-5</v>
      </c>
      <c r="H36" s="35">
        <v>4.0278419999999998E-5</v>
      </c>
      <c r="I36" s="35">
        <v>3.9998340000000002E-5</v>
      </c>
      <c r="J36" s="35">
        <v>3.977591E-5</v>
      </c>
      <c r="K36" s="35">
        <v>3.9609140000000003E-5</v>
      </c>
      <c r="L36" s="35">
        <v>3.9484409999999998E-5</v>
      </c>
      <c r="M36" s="35">
        <v>3.940782E-5</v>
      </c>
      <c r="N36" s="35">
        <v>3.9369529999999998E-5</v>
      </c>
      <c r="O36" s="35">
        <v>3.935406E-5</v>
      </c>
      <c r="P36" s="35">
        <v>3.9336860000000003E-5</v>
      </c>
      <c r="Q36" s="35">
        <v>3.93064E-5</v>
      </c>
      <c r="R36" s="35">
        <v>3.9289770000000002E-5</v>
      </c>
      <c r="S36" s="35">
        <v>3.9291600000000002E-5</v>
      </c>
      <c r="T36" s="35">
        <v>3.9322590000000001E-5</v>
      </c>
      <c r="U36" s="35">
        <v>3.9381100000000001E-5</v>
      </c>
      <c r="V36" s="36">
        <v>3.9431460000000001E-5</v>
      </c>
      <c r="W36" s="35">
        <v>3.9601229999999998E-5</v>
      </c>
      <c r="X36" s="35">
        <v>3.9783149999999999E-5</v>
      </c>
      <c r="Y36" s="35">
        <v>4.0054620000000002E-5</v>
      </c>
      <c r="Z36" s="35">
        <v>4.0520260000000003E-5</v>
      </c>
      <c r="AA36" s="35">
        <v>4.1372780000000003E-5</v>
      </c>
    </row>
    <row r="37" spans="1:27" x14ac:dyDescent="0.3">
      <c r="A37" s="150"/>
      <c r="B37" s="2" t="s">
        <v>15</v>
      </c>
      <c r="C37" s="1">
        <v>0.22702169999999999</v>
      </c>
      <c r="D37" s="1">
        <v>0.2271717</v>
      </c>
      <c r="E37" s="1">
        <v>0.2273191</v>
      </c>
      <c r="F37" s="1">
        <v>0.2274303</v>
      </c>
      <c r="G37" s="1">
        <v>0.227551</v>
      </c>
      <c r="H37" s="1">
        <v>0.22765959999999999</v>
      </c>
      <c r="I37" s="1">
        <v>0.22776299999999999</v>
      </c>
      <c r="J37" s="1">
        <v>0.2278753</v>
      </c>
      <c r="K37" s="1">
        <v>0.22795989999999999</v>
      </c>
      <c r="L37" s="1">
        <v>0.22810949999999999</v>
      </c>
      <c r="M37" s="1">
        <v>0.22826270000000001</v>
      </c>
      <c r="N37" s="1">
        <v>0.2284525</v>
      </c>
      <c r="O37" s="1">
        <v>0.22885829999999999</v>
      </c>
      <c r="P37" s="1">
        <v>0.23004330000000001</v>
      </c>
      <c r="Q37" s="1">
        <v>0.23203489999999999</v>
      </c>
      <c r="R37" s="1">
        <v>0.23445260000000001</v>
      </c>
      <c r="S37" s="1">
        <v>0.23699339999999999</v>
      </c>
      <c r="T37" s="1">
        <v>0.23960409999999999</v>
      </c>
      <c r="U37" s="1">
        <v>0.2422947</v>
      </c>
      <c r="V37" s="32">
        <v>0.2438959</v>
      </c>
      <c r="W37" s="1">
        <v>0.24806629999999999</v>
      </c>
      <c r="X37" s="1">
        <v>0.25136839999999999</v>
      </c>
      <c r="Y37" s="1">
        <v>0.25529000000000002</v>
      </c>
      <c r="Z37" s="1">
        <v>0.26058500000000001</v>
      </c>
      <c r="AA37" s="1">
        <v>0.2678914</v>
      </c>
    </row>
    <row r="38" spans="1:27" x14ac:dyDescent="0.3">
      <c r="A38" s="150"/>
      <c r="B38" s="2" t="s">
        <v>55</v>
      </c>
      <c r="C38" s="35">
        <v>6.2633610000000002E-7</v>
      </c>
      <c r="D38" s="35">
        <v>6.2246169999999995E-7</v>
      </c>
      <c r="E38" s="35">
        <v>6.1923070000000002E-7</v>
      </c>
      <c r="F38" s="35">
        <v>6.1615529999999998E-7</v>
      </c>
      <c r="G38" s="35">
        <v>6.134795E-7</v>
      </c>
      <c r="H38" s="35">
        <v>6.1095840000000003E-7</v>
      </c>
      <c r="I38" s="35">
        <v>6.086221E-7</v>
      </c>
      <c r="J38" s="35">
        <v>6.0654950000000003E-7</v>
      </c>
      <c r="K38" s="35">
        <v>6.0441110000000002E-7</v>
      </c>
      <c r="L38" s="35">
        <v>6.0292019999999999E-7</v>
      </c>
      <c r="M38" s="35">
        <v>6.015775E-7</v>
      </c>
      <c r="N38" s="35">
        <v>6.0060459999999998E-7</v>
      </c>
      <c r="O38" s="35">
        <v>6.0133300000000003E-7</v>
      </c>
      <c r="P38" s="35">
        <v>6.0793339999999996E-7</v>
      </c>
      <c r="Q38" s="35">
        <v>6.2068269999999997E-7</v>
      </c>
      <c r="R38" s="35">
        <v>6.3688410000000002E-7</v>
      </c>
      <c r="S38" s="35">
        <v>6.5432259999999995E-7</v>
      </c>
      <c r="T38" s="35">
        <v>6.726037E-7</v>
      </c>
      <c r="U38" s="35">
        <v>6.9181589999999996E-7</v>
      </c>
      <c r="V38" s="36">
        <v>7.0340809999999996E-7</v>
      </c>
      <c r="W38" s="35">
        <v>7.3425489999999999E-7</v>
      </c>
      <c r="X38" s="35">
        <v>7.5931110000000001E-7</v>
      </c>
      <c r="Y38" s="35">
        <v>7.8979500000000001E-7</v>
      </c>
      <c r="Z38" s="35">
        <v>8.3226640000000004E-7</v>
      </c>
      <c r="AA38" s="35">
        <v>8.933918E-7</v>
      </c>
    </row>
  </sheetData>
  <mergeCells count="2">
    <mergeCell ref="A25:A31"/>
    <mergeCell ref="A32:A38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"/>
  <sheetViews>
    <sheetView topLeftCell="A2" zoomScale="80" zoomScaleNormal="80" workbookViewId="0">
      <selection activeCell="G4" sqref="G4"/>
    </sheetView>
  </sheetViews>
  <sheetFormatPr defaultRowHeight="15.6" x14ac:dyDescent="0.3"/>
  <cols>
    <col min="1" max="1" width="59.3984375" customWidth="1"/>
    <col min="2" max="2" width="23.09765625" customWidth="1"/>
    <col min="20" max="20" width="8.796875" style="72"/>
  </cols>
  <sheetData>
    <row r="1" spans="1:21" x14ac:dyDescent="0.3">
      <c r="A1" s="61" t="s">
        <v>62</v>
      </c>
      <c r="B1" s="62" t="s">
        <v>8</v>
      </c>
      <c r="C1" s="63">
        <v>30</v>
      </c>
    </row>
    <row r="2" spans="1:21" x14ac:dyDescent="0.3">
      <c r="A2" s="3" t="s">
        <v>17</v>
      </c>
      <c r="B2" s="2" t="s">
        <v>1</v>
      </c>
      <c r="C2" s="2">
        <v>40</v>
      </c>
      <c r="D2" s="2">
        <v>40</v>
      </c>
      <c r="E2" s="2">
        <v>40</v>
      </c>
      <c r="F2" s="2">
        <v>40</v>
      </c>
      <c r="G2" s="2">
        <v>40</v>
      </c>
      <c r="H2" s="2">
        <v>40</v>
      </c>
      <c r="I2" s="2">
        <v>40</v>
      </c>
      <c r="J2" s="2">
        <v>40</v>
      </c>
      <c r="K2" s="2">
        <v>40</v>
      </c>
      <c r="L2" s="2">
        <v>40</v>
      </c>
      <c r="M2" s="2">
        <v>40</v>
      </c>
      <c r="N2" s="2">
        <v>40</v>
      </c>
      <c r="O2" s="2">
        <v>40</v>
      </c>
      <c r="P2" s="2">
        <v>40</v>
      </c>
      <c r="Q2" s="2">
        <v>40</v>
      </c>
      <c r="R2" s="2">
        <v>40</v>
      </c>
      <c r="S2" s="2">
        <v>40</v>
      </c>
      <c r="T2" s="73">
        <v>40</v>
      </c>
      <c r="U2" s="2">
        <v>40</v>
      </c>
    </row>
    <row r="3" spans="1:21" x14ac:dyDescent="0.3">
      <c r="A3" s="3" t="s">
        <v>16</v>
      </c>
      <c r="B3" s="2" t="s">
        <v>2</v>
      </c>
      <c r="C3" s="2">
        <v>1.0129999999999999</v>
      </c>
      <c r="D3" s="2">
        <v>1.0129999999999999</v>
      </c>
      <c r="E3" s="2">
        <v>1.0129999999999999</v>
      </c>
      <c r="F3" s="2">
        <v>1.0129999999999999</v>
      </c>
      <c r="G3" s="2">
        <v>1.0129999999999999</v>
      </c>
      <c r="H3" s="2">
        <v>1.0129999999999999</v>
      </c>
      <c r="I3" s="2">
        <v>1.0129999999999999</v>
      </c>
      <c r="J3" s="2">
        <v>1.0129999999999999</v>
      </c>
      <c r="K3" s="2">
        <v>1.0129999999999999</v>
      </c>
      <c r="L3" s="2">
        <v>1.0129999999999999</v>
      </c>
      <c r="M3" s="2">
        <v>1.0129999999999999</v>
      </c>
      <c r="N3" s="2">
        <v>1.0129999999999999</v>
      </c>
      <c r="O3" s="2">
        <v>1.0129999999999999</v>
      </c>
      <c r="P3" s="2">
        <v>1.0129999999999999</v>
      </c>
      <c r="Q3" s="2">
        <v>1.0129999999999999</v>
      </c>
      <c r="R3" s="2">
        <v>1.0129999999999999</v>
      </c>
      <c r="S3" s="2">
        <v>1.0129999999999999</v>
      </c>
      <c r="T3" s="73">
        <v>1.0129999999999999</v>
      </c>
      <c r="U3" s="2">
        <v>1.0129999999999999</v>
      </c>
    </row>
    <row r="4" spans="1:21" x14ac:dyDescent="0.3">
      <c r="A4" s="3" t="s">
        <v>3</v>
      </c>
      <c r="B4" s="2" t="s">
        <v>1</v>
      </c>
      <c r="C4" s="2">
        <v>40</v>
      </c>
      <c r="D4" s="2">
        <v>40</v>
      </c>
      <c r="E4" s="2">
        <v>40</v>
      </c>
      <c r="F4" s="2">
        <v>40</v>
      </c>
      <c r="G4" s="2">
        <v>40</v>
      </c>
      <c r="H4" s="2">
        <v>40</v>
      </c>
      <c r="I4" s="2">
        <v>40</v>
      </c>
      <c r="J4" s="2">
        <v>40</v>
      </c>
      <c r="K4" s="2">
        <v>40</v>
      </c>
      <c r="L4" s="2">
        <v>40</v>
      </c>
      <c r="M4" s="2">
        <v>40</v>
      </c>
      <c r="N4" s="2">
        <v>40</v>
      </c>
      <c r="O4" s="2">
        <v>40</v>
      </c>
      <c r="P4" s="2">
        <v>40</v>
      </c>
      <c r="Q4" s="2">
        <v>40</v>
      </c>
      <c r="R4" s="2">
        <v>40</v>
      </c>
      <c r="S4" s="2">
        <v>40</v>
      </c>
      <c r="T4" s="73">
        <v>40</v>
      </c>
      <c r="U4" s="2">
        <v>40</v>
      </c>
    </row>
    <row r="5" spans="1:21" x14ac:dyDescent="0.3">
      <c r="A5" s="3" t="s">
        <v>18</v>
      </c>
      <c r="B5" s="2" t="s">
        <v>2</v>
      </c>
      <c r="C5" s="2">
        <v>1.0129999999999999</v>
      </c>
      <c r="D5" s="2">
        <v>1.0129999999999999</v>
      </c>
      <c r="E5" s="2">
        <v>1.0129999999999999</v>
      </c>
      <c r="F5" s="2">
        <v>1.0129999999999999</v>
      </c>
      <c r="G5" s="2">
        <v>1.0129999999999999</v>
      </c>
      <c r="H5" s="2">
        <v>1.0129999999999999</v>
      </c>
      <c r="I5" s="2">
        <v>1.0129999999999999</v>
      </c>
      <c r="J5" s="2">
        <v>1.0129999999999999</v>
      </c>
      <c r="K5" s="2">
        <v>1.0129999999999999</v>
      </c>
      <c r="L5" s="2">
        <v>1.0129999999999999</v>
      </c>
      <c r="M5" s="2">
        <v>1.0129999999999999</v>
      </c>
      <c r="N5" s="2">
        <v>1.0129999999999999</v>
      </c>
      <c r="O5" s="2">
        <v>1.0129999999999999</v>
      </c>
      <c r="P5" s="2">
        <v>1.0129999999999999</v>
      </c>
      <c r="Q5" s="2">
        <v>1.0129999999999999</v>
      </c>
      <c r="R5" s="2">
        <v>1.0129999999999999</v>
      </c>
      <c r="S5" s="2">
        <v>1.0129999999999999</v>
      </c>
      <c r="T5" s="73">
        <v>1.0129999999999999</v>
      </c>
      <c r="U5" s="2">
        <v>1.0129999999999999</v>
      </c>
    </row>
    <row r="6" spans="1:21" x14ac:dyDescent="0.3">
      <c r="A6" s="3" t="s">
        <v>4</v>
      </c>
      <c r="B6" s="2" t="s">
        <v>5</v>
      </c>
      <c r="C6" s="5">
        <f>'MEA 30%'!$C$6</f>
        <v>5050.3680000000004</v>
      </c>
      <c r="D6" s="5">
        <f>'MEA 30%'!$C$6</f>
        <v>5050.3680000000004</v>
      </c>
      <c r="E6" s="5">
        <f>'MEA 30%'!$C$6</f>
        <v>5050.3680000000004</v>
      </c>
      <c r="F6" s="5">
        <f>'MEA 30%'!$C$6</f>
        <v>5050.3680000000004</v>
      </c>
      <c r="G6" s="5">
        <f>'MEA 30%'!$C$6</f>
        <v>5050.3680000000004</v>
      </c>
      <c r="H6" s="5">
        <f>'MEA 30%'!$C$6</f>
        <v>5050.3680000000004</v>
      </c>
      <c r="I6" s="5">
        <f>'MEA 30%'!$C$6</f>
        <v>5050.3680000000004</v>
      </c>
      <c r="J6" s="5">
        <f>'MEA 30%'!$C$6</f>
        <v>5050.3680000000004</v>
      </c>
      <c r="K6" s="5">
        <f>'MEA 30%'!$C$6</f>
        <v>5050.3680000000004</v>
      </c>
      <c r="L6" s="5">
        <f>'MEA 30%'!$C$6</f>
        <v>5050.3680000000004</v>
      </c>
      <c r="M6" s="5">
        <f>'MEA 30%'!$C$6</f>
        <v>5050.3680000000004</v>
      </c>
      <c r="N6" s="5">
        <f>'MEA 30%'!$C$6</f>
        <v>5050.3680000000004</v>
      </c>
      <c r="O6" s="5">
        <f>'MEA 30%'!$C$6</f>
        <v>5050.3680000000004</v>
      </c>
      <c r="P6" s="5">
        <f>'MEA 30%'!$C$6</f>
        <v>5050.3680000000004</v>
      </c>
      <c r="Q6" s="5">
        <f>'MEA 30%'!$C$6</f>
        <v>5050.3680000000004</v>
      </c>
      <c r="R6" s="5">
        <f>'MEA 30%'!$C$6</f>
        <v>5050.3680000000004</v>
      </c>
      <c r="S6" s="5">
        <f>'MEA 30%'!$C$6</f>
        <v>5050.3680000000004</v>
      </c>
      <c r="T6" s="74">
        <f>'MEA 30%'!$C$6</f>
        <v>5050.3680000000004</v>
      </c>
      <c r="U6" s="5">
        <f>'MEA 30%'!$C$6</f>
        <v>5050.3680000000004</v>
      </c>
    </row>
    <row r="7" spans="1:21" x14ac:dyDescent="0.3">
      <c r="A7" s="6" t="s">
        <v>6</v>
      </c>
      <c r="B7" s="22" t="s">
        <v>5</v>
      </c>
      <c r="C7" s="31">
        <f>C8*C6</f>
        <v>2525.1840000000002</v>
      </c>
      <c r="D7" s="31">
        <f t="shared" ref="D7:U7" si="0">D8*D6</f>
        <v>3030.2208000000001</v>
      </c>
      <c r="E7" s="31">
        <f t="shared" si="0"/>
        <v>3535.2575999999999</v>
      </c>
      <c r="F7" s="31">
        <f t="shared" si="0"/>
        <v>4040.2944000000007</v>
      </c>
      <c r="G7" s="31">
        <f t="shared" si="0"/>
        <v>4545.3312000000005</v>
      </c>
      <c r="H7" s="31">
        <f t="shared" si="0"/>
        <v>5050.3680000000004</v>
      </c>
      <c r="I7" s="31">
        <f t="shared" si="0"/>
        <v>6060.4416000000001</v>
      </c>
      <c r="J7" s="31">
        <f t="shared" si="0"/>
        <v>7070.5151999999998</v>
      </c>
      <c r="K7" s="31">
        <f t="shared" si="0"/>
        <v>8080.5888000000014</v>
      </c>
      <c r="L7" s="31">
        <f t="shared" si="0"/>
        <v>9090.6624000000011</v>
      </c>
      <c r="M7" s="31">
        <f t="shared" si="0"/>
        <v>10100.736000000001</v>
      </c>
      <c r="N7" s="31">
        <f t="shared" si="0"/>
        <v>12625.920000000002</v>
      </c>
      <c r="O7" s="31">
        <f t="shared" si="0"/>
        <v>15151.104000000001</v>
      </c>
      <c r="P7" s="31">
        <f t="shared" si="0"/>
        <v>17676.288</v>
      </c>
      <c r="Q7" s="31">
        <f t="shared" si="0"/>
        <v>20201.472000000002</v>
      </c>
      <c r="R7" s="31">
        <f t="shared" si="0"/>
        <v>22726.656000000003</v>
      </c>
      <c r="S7" s="31">
        <f t="shared" si="0"/>
        <v>25251.840000000004</v>
      </c>
      <c r="T7" s="75">
        <f t="shared" si="0"/>
        <v>26557.360128</v>
      </c>
      <c r="U7" s="31">
        <f t="shared" si="0"/>
        <v>30302.208000000002</v>
      </c>
    </row>
    <row r="8" spans="1:21" x14ac:dyDescent="0.3">
      <c r="A8" s="3" t="s">
        <v>7</v>
      </c>
      <c r="B8" s="2" t="s">
        <v>29</v>
      </c>
      <c r="C8" s="29">
        <v>0.5</v>
      </c>
      <c r="D8" s="30">
        <v>0.6</v>
      </c>
      <c r="E8" s="29">
        <v>0.7</v>
      </c>
      <c r="F8" s="30">
        <v>0.8</v>
      </c>
      <c r="G8" s="30">
        <v>0.9</v>
      </c>
      <c r="H8" s="30">
        <v>1</v>
      </c>
      <c r="I8" s="30">
        <v>1.2</v>
      </c>
      <c r="J8" s="30">
        <v>1.4</v>
      </c>
      <c r="K8" s="30">
        <v>1.6</v>
      </c>
      <c r="L8" s="30">
        <v>1.8</v>
      </c>
      <c r="M8" s="30">
        <v>2</v>
      </c>
      <c r="N8" s="30">
        <v>2.5</v>
      </c>
      <c r="O8" s="30">
        <v>3</v>
      </c>
      <c r="P8" s="30">
        <v>3.5</v>
      </c>
      <c r="Q8" s="30">
        <v>4</v>
      </c>
      <c r="R8" s="30">
        <v>4.5</v>
      </c>
      <c r="S8" s="30">
        <v>5</v>
      </c>
      <c r="T8" s="75">
        <v>5.2584999999999997</v>
      </c>
      <c r="U8" s="30">
        <v>6</v>
      </c>
    </row>
    <row r="9" spans="1:21" ht="18" x14ac:dyDescent="0.4">
      <c r="A9" s="3" t="s">
        <v>32</v>
      </c>
      <c r="B9" s="2" t="s">
        <v>5</v>
      </c>
      <c r="C9" s="1">
        <v>802.09379999999999</v>
      </c>
      <c r="D9" s="1">
        <v>802.09379999999999</v>
      </c>
      <c r="E9" s="1">
        <v>802.09379999999999</v>
      </c>
      <c r="F9" s="1">
        <v>802.09379999999999</v>
      </c>
      <c r="G9" s="1">
        <v>802.09379999999999</v>
      </c>
      <c r="H9" s="1">
        <v>802.09379999999999</v>
      </c>
      <c r="I9" s="1">
        <v>802.09379999999999</v>
      </c>
      <c r="J9" s="1">
        <v>802.09379999999999</v>
      </c>
      <c r="K9" s="1">
        <v>802.09379999999999</v>
      </c>
      <c r="L9" s="1">
        <v>802.09379999999999</v>
      </c>
      <c r="M9" s="1">
        <v>802.09379999999999</v>
      </c>
      <c r="N9" s="1">
        <v>802.09379999999999</v>
      </c>
      <c r="O9" s="1">
        <v>802.09379999999999</v>
      </c>
      <c r="P9" s="1">
        <v>802.09379999999999</v>
      </c>
      <c r="Q9" s="1">
        <v>802.09379999999999</v>
      </c>
      <c r="R9" s="1">
        <v>802.09379999999999</v>
      </c>
      <c r="S9" s="1">
        <v>802.09379999999999</v>
      </c>
      <c r="T9" s="75">
        <v>802.09379999999999</v>
      </c>
      <c r="U9" s="1">
        <v>802.09379999999999</v>
      </c>
    </row>
    <row r="10" spans="1:21" ht="18" x14ac:dyDescent="0.4">
      <c r="A10" s="3" t="s">
        <v>33</v>
      </c>
      <c r="B10" s="2" t="s">
        <v>5</v>
      </c>
      <c r="C10" s="1">
        <v>666.80430000000001</v>
      </c>
      <c r="D10" s="1">
        <v>644.22799999999995</v>
      </c>
      <c r="E10" s="1">
        <v>623.19460000000004</v>
      </c>
      <c r="F10" s="1">
        <v>603.65279999999996</v>
      </c>
      <c r="G10" s="1">
        <v>585.24400000000003</v>
      </c>
      <c r="H10" s="1">
        <v>567.86320000000001</v>
      </c>
      <c r="I10" s="1">
        <v>535.60329999999999</v>
      </c>
      <c r="J10" s="1">
        <v>505.95080000000002</v>
      </c>
      <c r="K10" s="1">
        <v>478.27510000000001</v>
      </c>
      <c r="L10" s="1">
        <v>452.10309999999998</v>
      </c>
      <c r="M10" s="1">
        <v>427.1035</v>
      </c>
      <c r="N10" s="1">
        <v>368.21129999999999</v>
      </c>
      <c r="O10" s="1">
        <v>312.54050000000001</v>
      </c>
      <c r="P10" s="1">
        <v>258.8433</v>
      </c>
      <c r="Q10" s="1">
        <v>206.39400000000001</v>
      </c>
      <c r="R10" s="1">
        <v>155.13489999999999</v>
      </c>
      <c r="S10" s="1">
        <v>105.1861</v>
      </c>
      <c r="T10" s="75">
        <v>80.163830000000004</v>
      </c>
      <c r="U10" s="1">
        <v>15.99722</v>
      </c>
    </row>
    <row r="11" spans="1:21" x14ac:dyDescent="0.3">
      <c r="A11" s="3" t="s">
        <v>49</v>
      </c>
      <c r="B11" s="2" t="s">
        <v>5</v>
      </c>
      <c r="C11" s="1">
        <v>135.28960000000001</v>
      </c>
      <c r="D11" s="1">
        <v>157.86590000000001</v>
      </c>
      <c r="E11" s="1">
        <v>178.8991</v>
      </c>
      <c r="F11" s="1">
        <v>198.441</v>
      </c>
      <c r="G11" s="1">
        <v>216.84989999999999</v>
      </c>
      <c r="H11" s="1">
        <v>234.23070000000001</v>
      </c>
      <c r="I11" s="1">
        <v>266.49059999999997</v>
      </c>
      <c r="J11" s="1">
        <v>296.1429</v>
      </c>
      <c r="K11" s="1">
        <v>323.81880000000001</v>
      </c>
      <c r="L11" s="1">
        <v>349.99059999999997</v>
      </c>
      <c r="M11" s="1">
        <v>374.99040000000002</v>
      </c>
      <c r="N11" s="1">
        <v>433.88249999999999</v>
      </c>
      <c r="O11" s="1">
        <v>489.55309999999997</v>
      </c>
      <c r="P11" s="1">
        <v>543.25059999999996</v>
      </c>
      <c r="Q11" s="1">
        <v>595.70000000000005</v>
      </c>
      <c r="R11" s="1">
        <v>646.95889999999997</v>
      </c>
      <c r="S11" s="1">
        <v>696.9076</v>
      </c>
      <c r="T11" s="75">
        <v>721.93</v>
      </c>
      <c r="U11" s="1">
        <v>786.09640000000002</v>
      </c>
    </row>
    <row r="12" spans="1:21" ht="18" x14ac:dyDescent="0.4">
      <c r="A12" s="3" t="s">
        <v>19</v>
      </c>
      <c r="B12" s="2" t="s">
        <v>8</v>
      </c>
      <c r="C12" s="30">
        <f>(C9-C10)/C9*100</f>
        <v>16.867042233713811</v>
      </c>
      <c r="D12" s="30">
        <f t="shared" ref="D12:U12" si="1">(D9-D10)/D9*100</f>
        <v>19.681713036555081</v>
      </c>
      <c r="E12" s="30">
        <f t="shared" si="1"/>
        <v>22.304024791115449</v>
      </c>
      <c r="F12" s="30">
        <f t="shared" si="1"/>
        <v>24.740373258090269</v>
      </c>
      <c r="G12" s="30">
        <f t="shared" si="1"/>
        <v>27.035466425497862</v>
      </c>
      <c r="H12" s="30">
        <f t="shared" si="1"/>
        <v>29.202395031603533</v>
      </c>
      <c r="I12" s="30">
        <f t="shared" si="1"/>
        <v>33.224356054117358</v>
      </c>
      <c r="J12" s="30">
        <f t="shared" si="1"/>
        <v>36.921242877079955</v>
      </c>
      <c r="K12" s="30">
        <f t="shared" si="1"/>
        <v>40.371674734301649</v>
      </c>
      <c r="L12" s="30">
        <f t="shared" si="1"/>
        <v>43.63463475219482</v>
      </c>
      <c r="M12" s="30">
        <f t="shared" si="1"/>
        <v>46.75142732682886</v>
      </c>
      <c r="N12" s="30">
        <f t="shared" si="1"/>
        <v>54.093735670316867</v>
      </c>
      <c r="O12" s="30">
        <f t="shared" si="1"/>
        <v>61.034420163826219</v>
      </c>
      <c r="P12" s="30">
        <f t="shared" si="1"/>
        <v>67.729048647427518</v>
      </c>
      <c r="Q12" s="30">
        <f t="shared" si="1"/>
        <v>74.268096823588465</v>
      </c>
      <c r="R12" s="30">
        <f t="shared" si="1"/>
        <v>80.658758364670064</v>
      </c>
      <c r="S12" s="30">
        <f t="shared" si="1"/>
        <v>86.886059959570815</v>
      </c>
      <c r="T12" s="75">
        <f t="shared" si="1"/>
        <v>90.005678886933183</v>
      </c>
      <c r="U12" s="30">
        <f t="shared" si="1"/>
        <v>98.005567428647382</v>
      </c>
    </row>
    <row r="13" spans="1:21" x14ac:dyDescent="0.3">
      <c r="A13" s="3" t="s">
        <v>20</v>
      </c>
      <c r="B13" s="2" t="s">
        <v>1</v>
      </c>
      <c r="C13" s="1">
        <v>36.247109999999999</v>
      </c>
      <c r="D13" s="1">
        <v>38.188499999999998</v>
      </c>
      <c r="E13" s="1">
        <v>39.764290000000003</v>
      </c>
      <c r="F13" s="1">
        <v>41.061419999999998</v>
      </c>
      <c r="G13" s="1">
        <v>42.143920000000001</v>
      </c>
      <c r="H13" s="1">
        <v>43.0565</v>
      </c>
      <c r="I13" s="1">
        <v>44.494140000000002</v>
      </c>
      <c r="J13" s="1">
        <v>45.55433</v>
      </c>
      <c r="K13" s="1">
        <v>46.344259999999998</v>
      </c>
      <c r="L13" s="1">
        <v>46.933959999999999</v>
      </c>
      <c r="M13" s="1">
        <v>47.369540000000001</v>
      </c>
      <c r="N13" s="1">
        <v>47.989519999999999</v>
      </c>
      <c r="O13" s="70">
        <v>48.16216</v>
      </c>
      <c r="P13" s="70">
        <v>48.048659999999998</v>
      </c>
      <c r="Q13" s="1">
        <v>47.726739999999999</v>
      </c>
      <c r="R13" s="1">
        <v>47.21828</v>
      </c>
      <c r="S13" s="1">
        <v>46.508510000000001</v>
      </c>
      <c r="T13" s="75">
        <v>46.032739999999997</v>
      </c>
      <c r="U13" s="1">
        <v>43.828490000000002</v>
      </c>
    </row>
    <row r="14" spans="1:21" ht="18" x14ac:dyDescent="0.4">
      <c r="A14" s="3" t="s">
        <v>21</v>
      </c>
      <c r="B14" s="2" t="s">
        <v>1</v>
      </c>
      <c r="C14" s="1">
        <v>18.76962</v>
      </c>
      <c r="D14" s="1">
        <v>20.139119999999998</v>
      </c>
      <c r="E14" s="1">
        <v>21.519729999999999</v>
      </c>
      <c r="F14" s="1">
        <v>22.84291</v>
      </c>
      <c r="G14" s="1">
        <v>24.105419999999999</v>
      </c>
      <c r="H14" s="1">
        <v>25.292480000000001</v>
      </c>
      <c r="I14" s="1">
        <v>27.448419999999999</v>
      </c>
      <c r="J14" s="1">
        <v>29.338740000000001</v>
      </c>
      <c r="K14" s="1">
        <v>31.00029</v>
      </c>
      <c r="L14" s="1">
        <v>32.467849999999999</v>
      </c>
      <c r="M14" s="1">
        <v>33.772239999999996</v>
      </c>
      <c r="N14" s="1">
        <v>36.45843</v>
      </c>
      <c r="O14" s="1">
        <v>38.533520000000003</v>
      </c>
      <c r="P14" s="1">
        <v>40.173259999999999</v>
      </c>
      <c r="Q14" s="1">
        <v>41.500300000000003</v>
      </c>
      <c r="R14" s="1">
        <v>42.601309999999998</v>
      </c>
      <c r="S14" s="1">
        <v>43.539589999999997</v>
      </c>
      <c r="T14" s="75">
        <v>43.980640000000001</v>
      </c>
      <c r="U14" s="1">
        <v>45.179259999999999</v>
      </c>
    </row>
    <row r="15" spans="1:21" x14ac:dyDescent="0.3">
      <c r="A15" s="3" t="s">
        <v>63</v>
      </c>
      <c r="B15" s="2" t="s">
        <v>5</v>
      </c>
      <c r="C15" s="1">
        <v>2.5813349999999999E-2</v>
      </c>
      <c r="D15" s="1">
        <v>3.2008509999999997E-2</v>
      </c>
      <c r="E15" s="1">
        <v>3.7997980000000001E-2</v>
      </c>
      <c r="F15" s="1">
        <v>4.3674699999999997E-2</v>
      </c>
      <c r="G15" s="1">
        <v>4.899133E-2</v>
      </c>
      <c r="H15" s="1">
        <v>5.3926740000000001E-2</v>
      </c>
      <c r="I15" s="1">
        <v>6.2637659999999998E-2</v>
      </c>
      <c r="J15" s="1">
        <v>6.988171E-2</v>
      </c>
      <c r="K15" s="1">
        <v>7.5791280000000003E-2</v>
      </c>
      <c r="L15" s="1">
        <v>8.0527870000000001E-2</v>
      </c>
      <c r="M15" s="1">
        <v>8.423543E-2</v>
      </c>
      <c r="N15" s="1">
        <v>8.9969999999999994E-2</v>
      </c>
      <c r="O15" s="1">
        <v>9.201165E-2</v>
      </c>
      <c r="P15" s="1">
        <v>9.1613169999999994E-2</v>
      </c>
      <c r="Q15" s="1">
        <v>8.9548269999999999E-2</v>
      </c>
      <c r="R15" s="1">
        <v>8.6179240000000004E-2</v>
      </c>
      <c r="S15" s="1">
        <v>8.1658270000000005E-2</v>
      </c>
      <c r="T15" s="75">
        <v>7.8765440000000006E-2</v>
      </c>
      <c r="U15" s="1">
        <v>6.6690520000000003E-2</v>
      </c>
    </row>
    <row r="16" spans="1:21" ht="18" x14ac:dyDescent="0.4">
      <c r="A16" s="3" t="s">
        <v>22</v>
      </c>
      <c r="B16" s="2" t="s">
        <v>64</v>
      </c>
      <c r="C16" s="1">
        <f>3074.064/6357.032</f>
        <v>0.48356906178858305</v>
      </c>
      <c r="D16" s="1">
        <f>3587.046/7628.43</f>
        <v>0.47022074004742781</v>
      </c>
      <c r="E16" s="1">
        <f>4064.966/8899.829</f>
        <v>0.45674652850071612</v>
      </c>
      <c r="F16" s="1">
        <f>4508.998/10171.24</f>
        <v>0.44330858381082344</v>
      </c>
      <c r="G16" s="1">
        <f>4927.288/11442.64</f>
        <v>0.43060762201729669</v>
      </c>
      <c r="H16" s="1">
        <f>5322.215/12714.04</f>
        <v>0.41860926975217944</v>
      </c>
      <c r="I16" s="1">
        <f>6055.229/15256.87</f>
        <v>0.39688540310037379</v>
      </c>
      <c r="J16" s="1">
        <f>6728.992/17799.71</f>
        <v>0.37803941749612779</v>
      </c>
      <c r="K16" s="1">
        <f>7357.846/20342.56</f>
        <v>0.36169715119434326</v>
      </c>
      <c r="L16" s="1">
        <f>7952.525/22885.42</f>
        <v>0.34749307637788601</v>
      </c>
      <c r="M16" s="1">
        <f>8520.571/25428.29</f>
        <v>0.33508234332705816</v>
      </c>
      <c r="N16" s="1">
        <f>9858.726/31785.49</f>
        <v>0.31016435486758265</v>
      </c>
      <c r="O16" s="71">
        <f>11123.68/38142.72</f>
        <v>0.2916331084935736</v>
      </c>
      <c r="P16" s="71">
        <f>12343.8/44499.98</f>
        <v>0.27738888871410727</v>
      </c>
      <c r="Q16" s="1">
        <f>13535.56/50857.24</f>
        <v>0.26614814331253522</v>
      </c>
      <c r="R16" s="1">
        <f>14700.27/57214.52</f>
        <v>0.25693250594429529</v>
      </c>
      <c r="S16" s="1">
        <f>15835.21/63571.8</f>
        <v>0.24909173564379172</v>
      </c>
      <c r="T16" s="75">
        <f>16403.77/66858.52</f>
        <v>0.24535048038754073</v>
      </c>
      <c r="U16" s="1">
        <f>17861.77/76286.42</f>
        <v>0.2341408864120246</v>
      </c>
    </row>
    <row r="17" spans="1:22" ht="18" x14ac:dyDescent="0.4">
      <c r="A17" s="3" t="s">
        <v>23</v>
      </c>
      <c r="B17" s="2" t="s">
        <v>1</v>
      </c>
      <c r="C17" s="1">
        <v>65</v>
      </c>
      <c r="D17" s="1">
        <v>65</v>
      </c>
      <c r="E17" s="1">
        <v>65</v>
      </c>
      <c r="F17" s="1">
        <v>65</v>
      </c>
      <c r="G17" s="1">
        <v>65</v>
      </c>
      <c r="H17" s="1">
        <v>65</v>
      </c>
      <c r="I17" s="1">
        <v>65</v>
      </c>
      <c r="J17" s="1">
        <v>65</v>
      </c>
      <c r="K17" s="1">
        <v>65</v>
      </c>
      <c r="L17" s="1">
        <v>65</v>
      </c>
      <c r="M17" s="1">
        <v>65</v>
      </c>
      <c r="N17" s="1">
        <v>65</v>
      </c>
      <c r="O17" s="1">
        <v>65</v>
      </c>
      <c r="P17" s="1">
        <v>65</v>
      </c>
      <c r="Q17" s="1">
        <v>65</v>
      </c>
      <c r="R17" s="1">
        <v>65</v>
      </c>
      <c r="S17" s="1">
        <v>65</v>
      </c>
      <c r="T17" s="75">
        <v>65</v>
      </c>
      <c r="U17" s="68">
        <v>65</v>
      </c>
      <c r="V17" s="69"/>
    </row>
    <row r="18" spans="1:22" ht="18" x14ac:dyDescent="0.4">
      <c r="A18" s="3" t="s">
        <v>24</v>
      </c>
      <c r="B18" s="2" t="s">
        <v>64</v>
      </c>
      <c r="C18" s="40">
        <v>0.21</v>
      </c>
      <c r="D18" s="40">
        <v>0.21</v>
      </c>
      <c r="E18" s="40">
        <v>0.21</v>
      </c>
      <c r="F18" s="40">
        <v>0.21</v>
      </c>
      <c r="G18" s="40">
        <v>0.21</v>
      </c>
      <c r="H18" s="40">
        <v>0.21</v>
      </c>
      <c r="I18" s="40">
        <v>0.21</v>
      </c>
      <c r="J18" s="40">
        <v>0.21</v>
      </c>
      <c r="K18" s="40">
        <v>0.21</v>
      </c>
      <c r="L18" s="40">
        <v>0.21</v>
      </c>
      <c r="M18" s="40">
        <v>0.21</v>
      </c>
      <c r="N18" s="40">
        <v>0.21</v>
      </c>
      <c r="O18" s="40">
        <v>0.21</v>
      </c>
      <c r="P18" s="40">
        <v>0.21</v>
      </c>
      <c r="Q18" s="40">
        <v>0.21</v>
      </c>
      <c r="R18" s="40">
        <v>0.21</v>
      </c>
      <c r="S18" s="40">
        <v>0.21</v>
      </c>
      <c r="T18" s="75">
        <v>0.21</v>
      </c>
      <c r="U18" s="40">
        <v>0.21</v>
      </c>
    </row>
    <row r="19" spans="1:22" x14ac:dyDescent="0.3">
      <c r="A19" s="3" t="s">
        <v>25</v>
      </c>
      <c r="B19" s="2" t="s">
        <v>10</v>
      </c>
      <c r="C19" s="30">
        <v>321.39699999999999</v>
      </c>
      <c r="D19" s="30">
        <v>388.60199999999998</v>
      </c>
      <c r="E19" s="30">
        <v>456.28800000000001</v>
      </c>
      <c r="F19" s="30">
        <v>524.40700000000004</v>
      </c>
      <c r="G19" s="30">
        <v>592.93200000000002</v>
      </c>
      <c r="H19" s="30">
        <v>661.74599999999998</v>
      </c>
      <c r="I19" s="30">
        <v>800.2</v>
      </c>
      <c r="J19" s="30">
        <v>939.54399999999998</v>
      </c>
      <c r="K19" s="30">
        <v>1079.05</v>
      </c>
      <c r="L19" s="30">
        <v>1215.96</v>
      </c>
      <c r="M19" s="30">
        <v>1340.42</v>
      </c>
      <c r="N19" s="30">
        <v>1631.31</v>
      </c>
      <c r="O19" s="30">
        <v>1918.08</v>
      </c>
      <c r="P19" s="30">
        <v>2199.34</v>
      </c>
      <c r="Q19" s="30">
        <v>2478.5500000000002</v>
      </c>
      <c r="R19" s="30">
        <v>2755.61</v>
      </c>
      <c r="S19" s="30">
        <v>3030.4</v>
      </c>
      <c r="T19" s="75">
        <v>3171.19</v>
      </c>
      <c r="U19" s="30">
        <v>3562.25</v>
      </c>
    </row>
    <row r="20" spans="1:22" ht="18" x14ac:dyDescent="0.4">
      <c r="A20" s="3" t="s">
        <v>26</v>
      </c>
      <c r="B20" s="2" t="s">
        <v>1</v>
      </c>
      <c r="C20" s="1">
        <v>93.803259999999995</v>
      </c>
      <c r="D20" s="1">
        <v>93.867009999999993</v>
      </c>
      <c r="E20" s="1">
        <v>93.920919999999995</v>
      </c>
      <c r="F20" s="1">
        <v>93.968530000000001</v>
      </c>
      <c r="G20" s="1">
        <v>94.010949999999994</v>
      </c>
      <c r="H20" s="1">
        <v>94.04862</v>
      </c>
      <c r="I20" s="1">
        <v>94.113560000000007</v>
      </c>
      <c r="J20" s="1">
        <v>94.169139999999999</v>
      </c>
      <c r="K20" s="1">
        <v>94.217929999999996</v>
      </c>
      <c r="L20" s="1">
        <v>94.258179999999996</v>
      </c>
      <c r="M20" s="1">
        <v>94.291610000000006</v>
      </c>
      <c r="N20" s="1">
        <v>94.362620000000007</v>
      </c>
      <c r="O20" s="1">
        <v>94.415890000000005</v>
      </c>
      <c r="P20" s="1">
        <v>94.457250000000002</v>
      </c>
      <c r="Q20" s="1">
        <v>94.490790000000004</v>
      </c>
      <c r="R20" s="1">
        <v>94.516760000000005</v>
      </c>
      <c r="S20" s="1">
        <v>94.537750000000003</v>
      </c>
      <c r="T20" s="75">
        <v>94.54813</v>
      </c>
      <c r="U20" s="1">
        <v>94.574039999999997</v>
      </c>
    </row>
    <row r="21" spans="1:22" x14ac:dyDescent="0.3">
      <c r="A21" s="3" t="s">
        <v>65</v>
      </c>
      <c r="B21" s="2" t="s">
        <v>5</v>
      </c>
      <c r="C21" s="1">
        <v>4.2506480000000001E-3</v>
      </c>
      <c r="D21" s="1">
        <v>4.8122269999999997E-3</v>
      </c>
      <c r="E21" s="1">
        <v>5.2869830000000003E-3</v>
      </c>
      <c r="F21" s="1">
        <v>5.6788469999999999E-3</v>
      </c>
      <c r="G21" s="1">
        <v>6.0086840000000002E-3</v>
      </c>
      <c r="H21" s="1">
        <v>6.2843730000000002E-3</v>
      </c>
      <c r="I21" s="1">
        <v>6.7025599999999998E-3</v>
      </c>
      <c r="J21" s="1">
        <v>6.9874819999999997E-3</v>
      </c>
      <c r="K21" s="1">
        <v>7.1791399999999997E-3</v>
      </c>
      <c r="L21" s="1">
        <v>7.3453349999999997E-3</v>
      </c>
      <c r="M21" s="1">
        <v>7.628541E-3</v>
      </c>
      <c r="N21" s="1">
        <v>8.2841719999999994E-3</v>
      </c>
      <c r="O21" s="1">
        <v>8.6351989999999997E-3</v>
      </c>
      <c r="P21" s="1">
        <v>8.7404000000000006E-3</v>
      </c>
      <c r="Q21" s="1">
        <v>8.6613030000000004E-3</v>
      </c>
      <c r="R21" s="1">
        <v>8.4187270000000008E-3</v>
      </c>
      <c r="S21" s="1">
        <v>8.017148E-3</v>
      </c>
      <c r="T21" s="75">
        <v>7.7301430000000001E-3</v>
      </c>
      <c r="U21" s="1">
        <v>6.286893E-3</v>
      </c>
    </row>
    <row r="22" spans="1:22" x14ac:dyDescent="0.3">
      <c r="A22" s="3" t="s">
        <v>66</v>
      </c>
      <c r="B22" s="2" t="s">
        <v>5</v>
      </c>
      <c r="C22" s="1">
        <f>C21+C15</f>
        <v>3.0063997999999998E-2</v>
      </c>
      <c r="D22" s="1">
        <f t="shared" ref="D22:U22" si="2">D21+D15</f>
        <v>3.6820736999999999E-2</v>
      </c>
      <c r="E22" s="1">
        <f t="shared" si="2"/>
        <v>4.3284963000000003E-2</v>
      </c>
      <c r="F22" s="1">
        <f t="shared" si="2"/>
        <v>4.9353546999999998E-2</v>
      </c>
      <c r="G22" s="1">
        <f t="shared" si="2"/>
        <v>5.5000014E-2</v>
      </c>
      <c r="H22" s="1">
        <f t="shared" si="2"/>
        <v>6.0211113000000004E-2</v>
      </c>
      <c r="I22" s="1">
        <f t="shared" si="2"/>
        <v>6.9340219999999994E-2</v>
      </c>
      <c r="J22" s="1">
        <f t="shared" si="2"/>
        <v>7.6869192000000003E-2</v>
      </c>
      <c r="K22" s="1">
        <f t="shared" si="2"/>
        <v>8.2970420000000003E-2</v>
      </c>
      <c r="L22" s="1">
        <f t="shared" si="2"/>
        <v>8.7873204999999996E-2</v>
      </c>
      <c r="M22" s="1">
        <f t="shared" si="2"/>
        <v>9.1863971000000003E-2</v>
      </c>
      <c r="N22" s="1">
        <f t="shared" si="2"/>
        <v>9.8254172000000001E-2</v>
      </c>
      <c r="O22" s="1">
        <f t="shared" si="2"/>
        <v>0.100646849</v>
      </c>
      <c r="P22" s="1">
        <f t="shared" si="2"/>
        <v>0.10035356999999999</v>
      </c>
      <c r="Q22" s="1">
        <f t="shared" si="2"/>
        <v>9.8209572999999994E-2</v>
      </c>
      <c r="R22" s="1">
        <f t="shared" si="2"/>
        <v>9.4597967000000005E-2</v>
      </c>
      <c r="S22" s="1">
        <f t="shared" si="2"/>
        <v>8.9675418000000007E-2</v>
      </c>
      <c r="T22" s="75">
        <f t="shared" si="2"/>
        <v>8.6495583000000001E-2</v>
      </c>
      <c r="U22" s="1">
        <f t="shared" si="2"/>
        <v>7.2977413000000005E-2</v>
      </c>
    </row>
    <row r="23" spans="1:22" x14ac:dyDescent="0.3">
      <c r="A23" s="3" t="s">
        <v>67</v>
      </c>
      <c r="B23" s="2" t="s">
        <v>52</v>
      </c>
      <c r="C23" s="1">
        <f>C22/C11*1000</f>
        <v>0.22221957933204028</v>
      </c>
      <c r="D23" s="1">
        <f t="shared" ref="D23:U23" si="3">D22/D11*1000</f>
        <v>0.23324059850797416</v>
      </c>
      <c r="E23" s="1">
        <f t="shared" si="3"/>
        <v>0.24195182088674566</v>
      </c>
      <c r="F23" s="1">
        <f t="shared" si="3"/>
        <v>0.24870640139890446</v>
      </c>
      <c r="G23" s="1">
        <f t="shared" si="3"/>
        <v>0.2536317240635112</v>
      </c>
      <c r="H23" s="1">
        <f t="shared" si="3"/>
        <v>0.25705901489429012</v>
      </c>
      <c r="I23" s="1">
        <f t="shared" si="3"/>
        <v>0.2601976204789212</v>
      </c>
      <c r="J23" s="1">
        <f t="shared" si="3"/>
        <v>0.25956790454878376</v>
      </c>
      <c r="K23" s="1">
        <f t="shared" si="3"/>
        <v>0.25622483932372053</v>
      </c>
      <c r="L23" s="1">
        <f t="shared" si="3"/>
        <v>0.25107304310458622</v>
      </c>
      <c r="M23" s="1">
        <f t="shared" si="3"/>
        <v>0.24497686074096831</v>
      </c>
      <c r="N23" s="1">
        <f t="shared" si="3"/>
        <v>0.22645341077365416</v>
      </c>
      <c r="O23" s="1">
        <f t="shared" si="3"/>
        <v>0.20558923842990678</v>
      </c>
      <c r="P23" s="1">
        <f t="shared" si="3"/>
        <v>0.18472795059959435</v>
      </c>
      <c r="Q23" s="1">
        <f t="shared" si="3"/>
        <v>0.16486414806110455</v>
      </c>
      <c r="R23" s="1">
        <f t="shared" si="3"/>
        <v>0.14621943835999476</v>
      </c>
      <c r="S23" s="1">
        <f t="shared" si="3"/>
        <v>0.12867619466339586</v>
      </c>
      <c r="T23" s="75">
        <f t="shared" si="3"/>
        <v>0.11981159253667255</v>
      </c>
      <c r="U23" s="1">
        <f t="shared" si="3"/>
        <v>9.283519553072625E-2</v>
      </c>
    </row>
    <row r="24" spans="1:22" x14ac:dyDescent="0.3">
      <c r="A24" s="3" t="s">
        <v>34</v>
      </c>
      <c r="B24" s="2" t="s">
        <v>28</v>
      </c>
      <c r="C24" s="1">
        <f>C19/C11</f>
        <v>2.3756223686077864</v>
      </c>
      <c r="D24" s="1">
        <f t="shared" ref="D24:U24" si="4">D19/D11</f>
        <v>2.4615955694041585</v>
      </c>
      <c r="E24" s="1">
        <f t="shared" si="4"/>
        <v>2.5505326745634829</v>
      </c>
      <c r="F24" s="1">
        <f t="shared" si="4"/>
        <v>2.6426343346385073</v>
      </c>
      <c r="G24" s="1">
        <f t="shared" si="4"/>
        <v>2.734296856950361</v>
      </c>
      <c r="H24" s="1">
        <f t="shared" si="4"/>
        <v>2.8251890123711365</v>
      </c>
      <c r="I24" s="1">
        <f t="shared" si="4"/>
        <v>3.0027325541688903</v>
      </c>
      <c r="J24" s="1">
        <f t="shared" si="4"/>
        <v>3.1726034964876755</v>
      </c>
      <c r="K24" s="1">
        <f t="shared" si="4"/>
        <v>3.3322648345309163</v>
      </c>
      <c r="L24" s="1">
        <f t="shared" si="4"/>
        <v>3.4742647373958047</v>
      </c>
      <c r="M24" s="1">
        <f t="shared" si="4"/>
        <v>3.5745448416812802</v>
      </c>
      <c r="N24" s="1">
        <f t="shared" si="4"/>
        <v>3.7597967191578365</v>
      </c>
      <c r="O24" s="1">
        <f t="shared" si="4"/>
        <v>3.9180223759179547</v>
      </c>
      <c r="P24" s="1">
        <f t="shared" si="4"/>
        <v>4.0484814927033677</v>
      </c>
      <c r="Q24" s="1">
        <f t="shared" si="4"/>
        <v>4.1607352694309219</v>
      </c>
      <c r="R24" s="1">
        <f t="shared" si="4"/>
        <v>4.2593277563690677</v>
      </c>
      <c r="S24" s="1">
        <f t="shared" si="4"/>
        <v>4.3483526367053535</v>
      </c>
      <c r="T24" s="75">
        <f t="shared" si="4"/>
        <v>4.3926557976535126</v>
      </c>
      <c r="U24" s="1">
        <f t="shared" si="4"/>
        <v>4.5315689017275744</v>
      </c>
    </row>
    <row r="25" spans="1:22" x14ac:dyDescent="0.3">
      <c r="A25" s="150" t="s">
        <v>27</v>
      </c>
      <c r="B25" s="12" t="s">
        <v>36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75"/>
      <c r="U25" s="1"/>
    </row>
    <row r="26" spans="1:22" x14ac:dyDescent="0.3">
      <c r="A26" s="150"/>
      <c r="B26" s="2" t="s">
        <v>11</v>
      </c>
      <c r="C26" s="1">
        <v>0.88207659999999999</v>
      </c>
      <c r="D26" s="1">
        <v>0.88206580000000001</v>
      </c>
      <c r="E26" s="1">
        <v>0.88205029999999995</v>
      </c>
      <c r="F26" s="1">
        <v>0.88201220000000002</v>
      </c>
      <c r="G26" s="1">
        <v>0.88196470000000005</v>
      </c>
      <c r="H26" s="1">
        <v>0.88189300000000004</v>
      </c>
      <c r="I26" s="1">
        <v>0.88171860000000002</v>
      </c>
      <c r="J26" s="1">
        <v>0.88149169999999999</v>
      </c>
      <c r="K26" s="1">
        <v>0.88117970000000001</v>
      </c>
      <c r="L26" s="1">
        <v>0.88047580000000003</v>
      </c>
      <c r="M26" s="1">
        <v>0.87846480000000005</v>
      </c>
      <c r="N26" s="1">
        <v>0.87256699999999998</v>
      </c>
      <c r="O26" s="1">
        <v>0.86758299999999999</v>
      </c>
      <c r="P26" s="1">
        <v>0.86336489999999999</v>
      </c>
      <c r="Q26" s="1">
        <v>0.8596954</v>
      </c>
      <c r="R26" s="1">
        <v>0.85637059999999998</v>
      </c>
      <c r="S26" s="1">
        <v>0.85320929999999995</v>
      </c>
      <c r="T26" s="75">
        <v>0.85155210000000003</v>
      </c>
      <c r="U26" s="1">
        <v>0.84554969999999996</v>
      </c>
    </row>
    <row r="27" spans="1:22" x14ac:dyDescent="0.3">
      <c r="A27" s="150"/>
      <c r="B27" s="2" t="s">
        <v>12</v>
      </c>
      <c r="C27" s="1">
        <v>5.4629689999999998E-3</v>
      </c>
      <c r="D27" s="1">
        <v>5.3857089999999998E-3</v>
      </c>
      <c r="E27" s="1">
        <v>5.3210599999999999E-3</v>
      </c>
      <c r="F27" s="1">
        <v>5.2858999999999996E-3</v>
      </c>
      <c r="G27" s="1">
        <v>5.266059E-3</v>
      </c>
      <c r="H27" s="1">
        <v>5.2647190000000002E-3</v>
      </c>
      <c r="I27" s="1">
        <v>5.3062220000000002E-3</v>
      </c>
      <c r="J27" s="1">
        <v>5.3940960000000001E-3</v>
      </c>
      <c r="K27" s="1">
        <v>5.5175780000000004E-3</v>
      </c>
      <c r="L27" s="1">
        <v>5.6664790000000003E-3</v>
      </c>
      <c r="M27" s="1">
        <v>5.8263999999999998E-3</v>
      </c>
      <c r="N27" s="1">
        <v>6.291947E-3</v>
      </c>
      <c r="O27" s="1">
        <v>6.8418200000000002E-3</v>
      </c>
      <c r="P27" s="1">
        <v>7.4643859999999999E-3</v>
      </c>
      <c r="Q27" s="1">
        <v>8.1516130000000003E-3</v>
      </c>
      <c r="R27" s="1">
        <v>8.9189730000000002E-3</v>
      </c>
      <c r="S27" s="1">
        <v>9.7944929999999996E-3</v>
      </c>
      <c r="T27" s="75">
        <v>1.03172E-2</v>
      </c>
      <c r="U27" s="1">
        <v>1.2586399999999999E-2</v>
      </c>
    </row>
    <row r="28" spans="1:22" x14ac:dyDescent="0.3">
      <c r="A28" s="150"/>
      <c r="B28" s="2" t="s">
        <v>13</v>
      </c>
      <c r="C28" s="1">
        <v>3.1809079999999999E-4</v>
      </c>
      <c r="D28" s="1">
        <v>3.2606729999999997E-4</v>
      </c>
      <c r="E28" s="1">
        <v>3.3507710000000001E-4</v>
      </c>
      <c r="F28" s="1">
        <v>3.4570850000000003E-4</v>
      </c>
      <c r="G28" s="1">
        <v>3.5714219999999998E-4</v>
      </c>
      <c r="H28" s="1">
        <v>3.6953730000000002E-4</v>
      </c>
      <c r="I28" s="1">
        <v>3.9675700000000002E-4</v>
      </c>
      <c r="J28" s="1">
        <v>4.2678319999999998E-4</v>
      </c>
      <c r="K28" s="1">
        <v>4.5934509999999998E-4</v>
      </c>
      <c r="L28" s="1">
        <v>4.9408660000000001E-4</v>
      </c>
      <c r="M28" s="1">
        <v>5.3034649999999996E-4</v>
      </c>
      <c r="N28" s="1">
        <v>6.3001059999999995E-4</v>
      </c>
      <c r="O28" s="1">
        <v>7.4404829999999997E-4</v>
      </c>
      <c r="P28" s="1">
        <v>8.7466210000000004E-4</v>
      </c>
      <c r="Q28" s="1">
        <v>1.024587E-3</v>
      </c>
      <c r="R28" s="1">
        <v>1.2012209999999999E-3</v>
      </c>
      <c r="S28" s="1">
        <v>1.4173300000000001E-3</v>
      </c>
      <c r="T28" s="75">
        <v>1.554485E-3</v>
      </c>
      <c r="U28" s="1">
        <v>2.2247719999999999E-3</v>
      </c>
    </row>
    <row r="29" spans="1:22" x14ac:dyDescent="0.3">
      <c r="A29" s="150"/>
      <c r="B29" s="2" t="s">
        <v>14</v>
      </c>
      <c r="C29" s="35">
        <v>5.5619389999999997E-5</v>
      </c>
      <c r="D29" s="35">
        <v>5.700984E-5</v>
      </c>
      <c r="E29" s="35">
        <v>5.8570319999999999E-5</v>
      </c>
      <c r="F29" s="35">
        <v>6.0403440000000001E-5</v>
      </c>
      <c r="G29" s="35">
        <v>6.2367140000000004E-5</v>
      </c>
      <c r="H29" s="35">
        <v>6.4489899999999994E-5</v>
      </c>
      <c r="I29" s="35">
        <v>6.9136480000000003E-5</v>
      </c>
      <c r="J29" s="35">
        <v>7.4246039999999996E-5</v>
      </c>
      <c r="K29" s="35">
        <v>7.9774589999999999E-5</v>
      </c>
      <c r="L29" s="35">
        <v>8.5662340000000004E-5</v>
      </c>
      <c r="M29" s="35">
        <v>9.1796329999999996E-5</v>
      </c>
      <c r="N29" s="1">
        <v>1.086271E-4</v>
      </c>
      <c r="O29" s="1">
        <v>1.2785760000000001E-4</v>
      </c>
      <c r="P29" s="1">
        <v>1.4986679999999999E-4</v>
      </c>
      <c r="Q29" s="1">
        <v>1.7511720000000001E-4</v>
      </c>
      <c r="R29" s="1">
        <v>2.04861E-4</v>
      </c>
      <c r="S29" s="1">
        <v>2.4125230000000001E-4</v>
      </c>
      <c r="T29" s="75">
        <v>2.643535E-4</v>
      </c>
      <c r="U29" s="1">
        <v>3.7736289999999999E-4</v>
      </c>
    </row>
    <row r="30" spans="1:22" x14ac:dyDescent="0.3">
      <c r="A30" s="150"/>
      <c r="B30" s="2" t="s">
        <v>15</v>
      </c>
      <c r="C30" s="1">
        <v>0.11203780000000001</v>
      </c>
      <c r="D30" s="1">
        <v>0.1121168</v>
      </c>
      <c r="E30" s="1">
        <v>0.1121867</v>
      </c>
      <c r="F30" s="1">
        <v>0.1122479</v>
      </c>
      <c r="G30" s="1">
        <v>0.112302</v>
      </c>
      <c r="H30" s="1">
        <v>0.1123608</v>
      </c>
      <c r="I30" s="1">
        <v>0.1124622</v>
      </c>
      <c r="J30" s="1">
        <v>0.1125664</v>
      </c>
      <c r="K30" s="1">
        <v>0.1127171</v>
      </c>
      <c r="L30" s="1">
        <v>0.11323129999999999</v>
      </c>
      <c r="M30" s="1">
        <v>0.1150388</v>
      </c>
      <c r="N30" s="1">
        <v>0.1203509</v>
      </c>
      <c r="O30" s="1">
        <v>0.1246486</v>
      </c>
      <c r="P30" s="1">
        <v>0.12808900000000001</v>
      </c>
      <c r="Q30" s="1">
        <v>0.13089400000000001</v>
      </c>
      <c r="R30" s="1">
        <v>0.13324340000000001</v>
      </c>
      <c r="S30" s="1">
        <v>0.13527520000000001</v>
      </c>
      <c r="T30" s="75">
        <v>0.1362486</v>
      </c>
      <c r="U30" s="1">
        <v>0.13919609999999999</v>
      </c>
    </row>
    <row r="31" spans="1:22" x14ac:dyDescent="0.3">
      <c r="A31" s="150"/>
      <c r="B31" s="2" t="s">
        <v>61</v>
      </c>
      <c r="C31" s="35">
        <v>4.8987670000000003E-5</v>
      </c>
      <c r="D31" s="35">
        <v>4.8586640000000003E-5</v>
      </c>
      <c r="E31" s="35">
        <v>4.8252009999999999E-5</v>
      </c>
      <c r="F31" s="35">
        <v>4.7959720000000002E-5</v>
      </c>
      <c r="G31" s="35">
        <v>4.7701329999999999E-5</v>
      </c>
      <c r="H31" s="35">
        <v>4.7479669999999997E-5</v>
      </c>
      <c r="I31" s="35">
        <v>4.7095229999999998E-5</v>
      </c>
      <c r="J31" s="35">
        <v>4.6790930000000002E-5</v>
      </c>
      <c r="K31" s="35">
        <v>4.6580150000000002E-5</v>
      </c>
      <c r="L31" s="35">
        <v>4.6702069999999999E-5</v>
      </c>
      <c r="M31" s="35">
        <v>4.7873929999999998E-5</v>
      </c>
      <c r="N31" s="35">
        <v>5.1588400000000002E-5</v>
      </c>
      <c r="O31" s="35">
        <v>5.4670280000000003E-5</v>
      </c>
      <c r="P31" s="35">
        <v>5.7177330000000001E-5</v>
      </c>
      <c r="Q31" s="35">
        <v>5.9249739999999999E-5</v>
      </c>
      <c r="R31" s="35">
        <v>6.100622E-5</v>
      </c>
      <c r="S31" s="35">
        <v>6.2541929999999994E-5</v>
      </c>
      <c r="T31" s="76">
        <v>6.3283710000000006E-5</v>
      </c>
      <c r="U31" s="35">
        <v>6.5587350000000005E-5</v>
      </c>
    </row>
    <row r="32" spans="1:22" x14ac:dyDescent="0.3">
      <c r="A32" s="150" t="s">
        <v>27</v>
      </c>
      <c r="B32" s="12" t="s">
        <v>35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75"/>
      <c r="U32" s="1"/>
    </row>
    <row r="33" spans="1:21" x14ac:dyDescent="0.3">
      <c r="A33" s="150"/>
      <c r="B33" s="2" t="s">
        <v>11</v>
      </c>
      <c r="C33" s="1">
        <v>0.76032690000000003</v>
      </c>
      <c r="D33" s="1">
        <v>0.76022350000000005</v>
      </c>
      <c r="E33" s="1">
        <v>0.76012710000000006</v>
      </c>
      <c r="F33" s="1">
        <v>0.76002460000000005</v>
      </c>
      <c r="G33" s="1">
        <v>0.75992360000000003</v>
      </c>
      <c r="H33" s="1">
        <v>0.75980080000000005</v>
      </c>
      <c r="I33" s="1">
        <v>0.7595518</v>
      </c>
      <c r="J33" s="1">
        <v>0.75926320000000003</v>
      </c>
      <c r="K33" s="1">
        <v>0.75886419999999999</v>
      </c>
      <c r="L33" s="1">
        <v>0.75778979999999996</v>
      </c>
      <c r="M33" s="1">
        <v>0.75438369999999999</v>
      </c>
      <c r="N33" s="1">
        <v>0.74447269999999999</v>
      </c>
      <c r="O33" s="1">
        <v>0.73638800000000004</v>
      </c>
      <c r="P33" s="1">
        <v>0.72980310000000004</v>
      </c>
      <c r="Q33" s="1">
        <v>0.72429750000000004</v>
      </c>
      <c r="R33" s="1">
        <v>0.71951960000000004</v>
      </c>
      <c r="S33" s="1">
        <v>0.71518459999999995</v>
      </c>
      <c r="T33" s="75">
        <v>0.71300209999999997</v>
      </c>
      <c r="U33" s="1">
        <v>0.70563299999999995</v>
      </c>
    </row>
    <row r="34" spans="1:21" x14ac:dyDescent="0.3">
      <c r="A34" s="150"/>
      <c r="B34" s="2" t="s">
        <v>12</v>
      </c>
      <c r="C34" s="1">
        <v>3.2348440000000002E-3</v>
      </c>
      <c r="D34" s="1">
        <v>3.1887E-3</v>
      </c>
      <c r="E34" s="1">
        <v>3.15008E-3</v>
      </c>
      <c r="F34" s="1">
        <v>3.1289780000000001E-3</v>
      </c>
      <c r="G34" s="1">
        <v>3.1169869999999999E-3</v>
      </c>
      <c r="H34" s="1">
        <v>3.1159429999999999E-3</v>
      </c>
      <c r="I34" s="1">
        <v>3.140098E-3</v>
      </c>
      <c r="J34" s="1">
        <v>3.191709E-3</v>
      </c>
      <c r="K34" s="1">
        <v>3.2642140000000001E-3</v>
      </c>
      <c r="L34" s="1">
        <v>3.3502340000000001E-3</v>
      </c>
      <c r="M34" s="1">
        <v>3.4371520000000002E-3</v>
      </c>
      <c r="N34" s="1">
        <v>3.6877849999999998E-3</v>
      </c>
      <c r="O34" s="1">
        <v>3.9893109999999997E-3</v>
      </c>
      <c r="P34" s="1">
        <v>4.3344689999999996E-3</v>
      </c>
      <c r="Q34" s="1">
        <v>4.7178749999999998E-3</v>
      </c>
      <c r="R34" s="1">
        <v>5.147853E-3</v>
      </c>
      <c r="S34" s="1">
        <v>5.6399479999999997E-3</v>
      </c>
      <c r="T34" s="75">
        <v>5.9343319999999996E-3</v>
      </c>
      <c r="U34" s="1">
        <v>7.2155889999999997E-3</v>
      </c>
    </row>
    <row r="35" spans="1:21" x14ac:dyDescent="0.3">
      <c r="A35" s="150"/>
      <c r="B35" s="2" t="s">
        <v>13</v>
      </c>
      <c r="C35" s="1">
        <v>4.3074610000000001E-4</v>
      </c>
      <c r="D35" s="1">
        <v>4.4149290000000002E-4</v>
      </c>
      <c r="E35" s="1">
        <v>4.5364260000000002E-4</v>
      </c>
      <c r="F35" s="1">
        <v>4.6799290000000001E-4</v>
      </c>
      <c r="G35" s="1">
        <v>4.834328E-4</v>
      </c>
      <c r="H35" s="1">
        <v>5.0017080000000003E-4</v>
      </c>
      <c r="I35" s="1">
        <v>5.3694300000000001E-4</v>
      </c>
      <c r="J35" s="1">
        <v>5.7750759999999999E-4</v>
      </c>
      <c r="K35" s="1">
        <v>6.2146239999999995E-4</v>
      </c>
      <c r="L35" s="1">
        <v>6.6805249999999999E-4</v>
      </c>
      <c r="M35" s="1">
        <v>7.1549039999999997E-4</v>
      </c>
      <c r="N35" s="1">
        <v>8.4445029999999995E-4</v>
      </c>
      <c r="O35" s="1">
        <v>9.9214029999999996E-4</v>
      </c>
      <c r="P35" s="1">
        <v>1.161523E-3</v>
      </c>
      <c r="Q35" s="1">
        <v>1.3561179999999999E-3</v>
      </c>
      <c r="R35" s="1">
        <v>1.58555E-3</v>
      </c>
      <c r="S35" s="1">
        <v>1.866422E-3</v>
      </c>
      <c r="T35" s="75">
        <v>2.0447600000000001E-3</v>
      </c>
      <c r="U35" s="1">
        <v>2.9167659999999999E-3</v>
      </c>
    </row>
    <row r="36" spans="1:21" x14ac:dyDescent="0.3">
      <c r="A36" s="150"/>
      <c r="B36" s="2" t="s">
        <v>14</v>
      </c>
      <c r="C36" s="35">
        <v>6.5937919999999999E-5</v>
      </c>
      <c r="D36" s="35">
        <v>6.7577950000000006E-5</v>
      </c>
      <c r="E36" s="35">
        <v>6.9420130000000005E-5</v>
      </c>
      <c r="F36" s="35">
        <v>7.1586250000000006E-5</v>
      </c>
      <c r="G36" s="35">
        <v>7.3907660000000001E-5</v>
      </c>
      <c r="H36" s="35">
        <v>7.6417090000000003E-5</v>
      </c>
      <c r="I36" s="35">
        <v>8.1912379999999997E-5</v>
      </c>
      <c r="J36" s="35">
        <v>8.7955379999999993E-5</v>
      </c>
      <c r="K36" s="35">
        <v>9.4488520000000003E-5</v>
      </c>
      <c r="L36" s="1">
        <v>1.013996E-4</v>
      </c>
      <c r="M36" s="1">
        <v>1.084197E-4</v>
      </c>
      <c r="N36" s="1">
        <v>1.2746860000000001E-4</v>
      </c>
      <c r="O36" s="1">
        <v>1.4925790000000001E-4</v>
      </c>
      <c r="P36" s="1">
        <v>1.7423349999999999E-4</v>
      </c>
      <c r="Q36" s="1">
        <v>2.029159E-4</v>
      </c>
      <c r="R36" s="1">
        <v>2.3673100000000001E-4</v>
      </c>
      <c r="S36" s="1">
        <v>2.7813080000000002E-4</v>
      </c>
      <c r="T36" s="75">
        <v>3.044244E-4</v>
      </c>
      <c r="U36" s="1">
        <v>4.3312560000000001E-4</v>
      </c>
    </row>
    <row r="37" spans="1:21" x14ac:dyDescent="0.3">
      <c r="A37" s="150"/>
      <c r="B37" s="2" t="s">
        <v>15</v>
      </c>
      <c r="C37" s="1">
        <v>0.235926</v>
      </c>
      <c r="D37" s="1">
        <v>0.2360632</v>
      </c>
      <c r="E37" s="1">
        <v>0.23618449999999999</v>
      </c>
      <c r="F37" s="1">
        <v>0.23629159999999999</v>
      </c>
      <c r="G37" s="1">
        <v>0.23638690000000001</v>
      </c>
      <c r="H37" s="1">
        <v>0.2364916</v>
      </c>
      <c r="I37" s="1">
        <v>0.2366743</v>
      </c>
      <c r="J37" s="1">
        <v>0.23686460000000001</v>
      </c>
      <c r="K37" s="1">
        <v>0.23714089999999999</v>
      </c>
      <c r="L37" s="1">
        <v>0.2380757</v>
      </c>
      <c r="M37" s="1">
        <v>0.24134</v>
      </c>
      <c r="N37" s="1">
        <v>0.2508513</v>
      </c>
      <c r="O37" s="1">
        <v>0.25846419999999998</v>
      </c>
      <c r="P37" s="1">
        <v>0.26450879999999999</v>
      </c>
      <c r="Q37" s="1">
        <v>0.26940720000000001</v>
      </c>
      <c r="R37" s="1">
        <v>0.2734914</v>
      </c>
      <c r="S37" s="1">
        <v>0.27701150000000002</v>
      </c>
      <c r="T37" s="75">
        <v>0.27869470000000002</v>
      </c>
      <c r="U37" s="1">
        <v>0.28378140000000002</v>
      </c>
    </row>
    <row r="38" spans="1:21" x14ac:dyDescent="0.3">
      <c r="A38" s="150"/>
      <c r="B38" s="2" t="s">
        <v>61</v>
      </c>
      <c r="C38" s="35">
        <v>1.559506E-5</v>
      </c>
      <c r="D38" s="35">
        <v>1.5465480000000002E-5</v>
      </c>
      <c r="E38" s="35">
        <v>1.5357289999999999E-5</v>
      </c>
      <c r="F38" s="35">
        <v>1.526286E-5</v>
      </c>
      <c r="G38" s="35">
        <v>1.5179429999999999E-5</v>
      </c>
      <c r="H38" s="35">
        <v>1.510768E-5</v>
      </c>
      <c r="I38" s="35">
        <v>1.498341E-5</v>
      </c>
      <c r="J38" s="35">
        <v>1.488477E-5</v>
      </c>
      <c r="K38" s="35">
        <v>1.481517E-5</v>
      </c>
      <c r="L38" s="35">
        <v>1.4844779999999999E-5</v>
      </c>
      <c r="M38" s="35">
        <v>1.518355E-5</v>
      </c>
      <c r="N38" s="35">
        <v>1.6255800000000001E-5</v>
      </c>
      <c r="O38" s="35">
        <v>1.7137729999999999E-5</v>
      </c>
      <c r="P38" s="35">
        <v>1.7850129999999999E-5</v>
      </c>
      <c r="Q38" s="35">
        <v>1.843593E-5</v>
      </c>
      <c r="R38" s="35">
        <v>1.8930459999999998E-5</v>
      </c>
      <c r="S38" s="35">
        <v>1.9361550000000001E-5</v>
      </c>
      <c r="T38" s="76">
        <v>1.956941E-5</v>
      </c>
      <c r="U38" s="35">
        <v>2.0214640000000001E-5</v>
      </c>
    </row>
  </sheetData>
  <mergeCells count="2">
    <mergeCell ref="A25:A31"/>
    <mergeCell ref="A32:A38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1"/>
  <sheetViews>
    <sheetView zoomScale="80" zoomScaleNormal="80" workbookViewId="0">
      <selection activeCell="P25" sqref="P25"/>
    </sheetView>
  </sheetViews>
  <sheetFormatPr defaultRowHeight="15.6" x14ac:dyDescent="0.3"/>
  <cols>
    <col min="1" max="1" width="58.69921875" customWidth="1"/>
    <col min="2" max="2" width="20.796875" customWidth="1"/>
    <col min="3" max="3" width="10.3984375" customWidth="1"/>
    <col min="4" max="10" width="11.3984375" bestFit="1" customWidth="1"/>
    <col min="11" max="11" width="11.3984375" style="24" bestFit="1" customWidth="1"/>
    <col min="12" max="12" width="11.3984375" style="114" customWidth="1"/>
    <col min="13" max="13" width="12.3984375" bestFit="1" customWidth="1"/>
  </cols>
  <sheetData>
    <row r="1" spans="1:13" x14ac:dyDescent="0.3">
      <c r="A1" s="61" t="s">
        <v>102</v>
      </c>
      <c r="B1" s="62" t="s">
        <v>8</v>
      </c>
      <c r="C1" s="70" t="s">
        <v>103</v>
      </c>
      <c r="D1" s="1"/>
      <c r="E1" s="1"/>
      <c r="F1" s="1"/>
      <c r="G1" s="1"/>
      <c r="H1" s="1"/>
      <c r="I1" s="1"/>
      <c r="J1" s="1"/>
      <c r="K1" s="32"/>
      <c r="M1" s="1"/>
    </row>
    <row r="2" spans="1:13" x14ac:dyDescent="0.3">
      <c r="A2" s="3" t="s">
        <v>17</v>
      </c>
      <c r="B2" s="2" t="s">
        <v>1</v>
      </c>
      <c r="C2" s="98">
        <v>40</v>
      </c>
      <c r="D2" s="98">
        <v>40</v>
      </c>
      <c r="E2" s="98">
        <v>40</v>
      </c>
      <c r="F2" s="98">
        <v>40</v>
      </c>
      <c r="G2" s="98">
        <v>40</v>
      </c>
      <c r="H2" s="98">
        <v>40</v>
      </c>
      <c r="I2" s="98">
        <v>40</v>
      </c>
      <c r="J2" s="98">
        <v>40</v>
      </c>
      <c r="K2" s="85">
        <v>40</v>
      </c>
      <c r="L2" s="112">
        <v>40</v>
      </c>
      <c r="M2" s="98">
        <v>40</v>
      </c>
    </row>
    <row r="3" spans="1:13" x14ac:dyDescent="0.3">
      <c r="A3" s="3" t="s">
        <v>16</v>
      </c>
      <c r="B3" s="2" t="s">
        <v>2</v>
      </c>
      <c r="C3" s="98">
        <v>1.0129999999999999</v>
      </c>
      <c r="D3" s="98">
        <v>1.0129999999999999</v>
      </c>
      <c r="E3" s="98">
        <v>1.0129999999999999</v>
      </c>
      <c r="F3" s="98">
        <v>1.0129999999999999</v>
      </c>
      <c r="G3" s="98">
        <v>1.0129999999999999</v>
      </c>
      <c r="H3" s="98">
        <v>1.0129999999999999</v>
      </c>
      <c r="I3" s="98">
        <v>1.0129999999999999</v>
      </c>
      <c r="J3" s="98">
        <v>1.0129999999999999</v>
      </c>
      <c r="K3" s="85">
        <v>1.0129999999999999</v>
      </c>
      <c r="L3" s="112">
        <v>1.0129999999999999</v>
      </c>
      <c r="M3" s="98">
        <v>1.0129999999999999</v>
      </c>
    </row>
    <row r="4" spans="1:13" x14ac:dyDescent="0.3">
      <c r="A4" s="3" t="s">
        <v>3</v>
      </c>
      <c r="B4" s="2" t="s">
        <v>1</v>
      </c>
      <c r="C4" s="98">
        <v>40</v>
      </c>
      <c r="D4" s="98">
        <v>40</v>
      </c>
      <c r="E4" s="98">
        <v>40</v>
      </c>
      <c r="F4" s="98">
        <v>40</v>
      </c>
      <c r="G4" s="98">
        <v>40</v>
      </c>
      <c r="H4" s="98">
        <v>40</v>
      </c>
      <c r="I4" s="98">
        <v>40</v>
      </c>
      <c r="J4" s="98">
        <v>40</v>
      </c>
      <c r="K4" s="85">
        <v>40</v>
      </c>
      <c r="L4" s="112">
        <v>40</v>
      </c>
      <c r="M4" s="98">
        <v>40</v>
      </c>
    </row>
    <row r="5" spans="1:13" x14ac:dyDescent="0.3">
      <c r="A5" s="3" t="s">
        <v>18</v>
      </c>
      <c r="B5" s="2" t="s">
        <v>2</v>
      </c>
      <c r="C5" s="98">
        <v>1.0129999999999999</v>
      </c>
      <c r="D5" s="98">
        <v>1.0129999999999999</v>
      </c>
      <c r="E5" s="98">
        <v>1.0129999999999999</v>
      </c>
      <c r="F5" s="98">
        <v>1.0129999999999999</v>
      </c>
      <c r="G5" s="98">
        <v>1.0129999999999999</v>
      </c>
      <c r="H5" s="98">
        <v>1.0129999999999999</v>
      </c>
      <c r="I5" s="98">
        <v>1.0129999999999999</v>
      </c>
      <c r="J5" s="98">
        <v>1.0129999999999999</v>
      </c>
      <c r="K5" s="85">
        <v>1.0129999999999999</v>
      </c>
      <c r="L5" s="112">
        <v>1.0129999999999999</v>
      </c>
      <c r="M5" s="98">
        <v>1.0129999999999999</v>
      </c>
    </row>
    <row r="6" spans="1:13" x14ac:dyDescent="0.3">
      <c r="A6" s="3" t="s">
        <v>4</v>
      </c>
      <c r="B6" s="2" t="s">
        <v>5</v>
      </c>
      <c r="C6" s="77">
        <f>'MEA 30%'!$C$6</f>
        <v>5050.3680000000004</v>
      </c>
      <c r="D6" s="77">
        <f>'MEA 30%'!$C$6</f>
        <v>5050.3680000000004</v>
      </c>
      <c r="E6" s="77">
        <f>'MEA 30%'!$C$6</f>
        <v>5050.3680000000004</v>
      </c>
      <c r="F6" s="77">
        <f>'MEA 30%'!$C$6</f>
        <v>5050.3680000000004</v>
      </c>
      <c r="G6" s="77">
        <f>'MEA 30%'!$C$6</f>
        <v>5050.3680000000004</v>
      </c>
      <c r="H6" s="77">
        <f>'MEA 30%'!$C$6</f>
        <v>5050.3680000000004</v>
      </c>
      <c r="I6" s="77">
        <f>'MEA 30%'!$C$6</f>
        <v>5050.3680000000004</v>
      </c>
      <c r="J6" s="77">
        <f>'MEA 30%'!$C$6</f>
        <v>5050.3680000000004</v>
      </c>
      <c r="K6" s="86">
        <f>'MEA 30%'!$C$6</f>
        <v>5050.3680000000004</v>
      </c>
      <c r="L6" s="113">
        <f>'MEA 30%'!$C$6</f>
        <v>5050.3680000000004</v>
      </c>
      <c r="M6" s="77">
        <f>'MEA 30%'!$C$6</f>
        <v>5050.3680000000004</v>
      </c>
    </row>
    <row r="7" spans="1:13" x14ac:dyDescent="0.3">
      <c r="A7" s="6" t="s">
        <v>6</v>
      </c>
      <c r="B7" s="22" t="s">
        <v>5</v>
      </c>
      <c r="C7" s="31">
        <f t="shared" ref="C7:M7" si="0">C6*C8</f>
        <v>2525.1840000000002</v>
      </c>
      <c r="D7" s="31">
        <f t="shared" si="0"/>
        <v>3030.2208000000001</v>
      </c>
      <c r="E7" s="31">
        <f t="shared" si="0"/>
        <v>3535.2575999999999</v>
      </c>
      <c r="F7" s="31">
        <f t="shared" si="0"/>
        <v>4040.2944000000007</v>
      </c>
      <c r="G7" s="31">
        <f t="shared" si="0"/>
        <v>4545.3312000000005</v>
      </c>
      <c r="H7" s="31">
        <f t="shared" si="0"/>
        <v>5050.3680000000004</v>
      </c>
      <c r="I7" s="31">
        <f t="shared" si="0"/>
        <v>5555.4048000000012</v>
      </c>
      <c r="J7" s="31">
        <f t="shared" si="0"/>
        <v>6060.4416000000001</v>
      </c>
      <c r="K7" s="32">
        <f t="shared" si="0"/>
        <v>6198.8216832000007</v>
      </c>
      <c r="L7" s="31">
        <f t="shared" si="0"/>
        <v>6565.4784000000009</v>
      </c>
      <c r="M7" s="31">
        <f t="shared" si="0"/>
        <v>7070.5151999999998</v>
      </c>
    </row>
    <row r="8" spans="1:13" x14ac:dyDescent="0.3">
      <c r="A8" s="3" t="s">
        <v>7</v>
      </c>
      <c r="B8" s="2" t="s">
        <v>29</v>
      </c>
      <c r="C8" s="78">
        <v>0.5</v>
      </c>
      <c r="D8" s="30">
        <v>0.6</v>
      </c>
      <c r="E8" s="30">
        <v>0.7</v>
      </c>
      <c r="F8" s="30">
        <v>0.8</v>
      </c>
      <c r="G8" s="30">
        <v>0.9</v>
      </c>
      <c r="H8" s="30">
        <v>1</v>
      </c>
      <c r="I8" s="30">
        <v>1.1000000000000001</v>
      </c>
      <c r="J8" s="30">
        <v>1.2</v>
      </c>
      <c r="K8" s="32">
        <v>1.2274</v>
      </c>
      <c r="L8" s="30">
        <v>1.3</v>
      </c>
      <c r="M8" s="30">
        <v>1.4</v>
      </c>
    </row>
    <row r="9" spans="1:13" ht="18" x14ac:dyDescent="0.4">
      <c r="A9" s="3" t="s">
        <v>32</v>
      </c>
      <c r="B9" s="2" t="s">
        <v>5</v>
      </c>
      <c r="C9" s="1">
        <v>802.09379999999999</v>
      </c>
      <c r="D9" s="1">
        <v>802.09379999999999</v>
      </c>
      <c r="E9" s="1">
        <v>802.09379999999999</v>
      </c>
      <c r="F9" s="1">
        <v>802.09379999999999</v>
      </c>
      <c r="G9" s="1">
        <v>802.09379999999999</v>
      </c>
      <c r="H9" s="1">
        <v>802.09379999999999</v>
      </c>
      <c r="I9" s="1">
        <v>802.09379999999999</v>
      </c>
      <c r="J9" s="1">
        <v>802.09379999999999</v>
      </c>
      <c r="K9" s="32">
        <v>802.09379999999999</v>
      </c>
      <c r="L9" s="1">
        <v>802.09379999999999</v>
      </c>
      <c r="M9" s="1">
        <v>802.09379999999999</v>
      </c>
    </row>
    <row r="10" spans="1:13" ht="18" x14ac:dyDescent="0.4">
      <c r="A10" s="3" t="s">
        <v>33</v>
      </c>
      <c r="B10" s="2" t="s">
        <v>5</v>
      </c>
      <c r="C10" s="1">
        <v>499.54649999999998</v>
      </c>
      <c r="D10" s="1">
        <v>440.00959999999998</v>
      </c>
      <c r="E10" s="1">
        <v>381.00209999999998</v>
      </c>
      <c r="F10" s="1">
        <v>322.55739999999997</v>
      </c>
      <c r="G10" s="1">
        <v>264.68079999999998</v>
      </c>
      <c r="H10" s="1">
        <v>207.45490000000001</v>
      </c>
      <c r="I10" s="1">
        <v>150.9092</v>
      </c>
      <c r="J10" s="1">
        <v>95.221800000000002</v>
      </c>
      <c r="K10" s="32">
        <v>80.160979999999995</v>
      </c>
      <c r="L10" s="114">
        <v>40.987000000000002</v>
      </c>
      <c r="M10" s="1">
        <v>1.8522960000000002E-2</v>
      </c>
    </row>
    <row r="11" spans="1:13" x14ac:dyDescent="0.3">
      <c r="A11" s="3" t="s">
        <v>49</v>
      </c>
      <c r="B11" s="2" t="s">
        <v>5</v>
      </c>
      <c r="C11" s="1">
        <v>302.54730000000001</v>
      </c>
      <c r="D11" s="1">
        <v>362.08420000000001</v>
      </c>
      <c r="E11" s="1">
        <v>421.09699999999998</v>
      </c>
      <c r="F11" s="1">
        <v>479.53640000000001</v>
      </c>
      <c r="G11" s="1">
        <v>537.41279999999995</v>
      </c>
      <c r="H11" s="1">
        <v>594.63890000000004</v>
      </c>
      <c r="I11" s="1">
        <v>651.18460000000005</v>
      </c>
      <c r="J11" s="1">
        <v>706.87210000000005</v>
      </c>
      <c r="K11" s="32">
        <v>721.93280000000004</v>
      </c>
      <c r="L11" s="114">
        <v>761.1069</v>
      </c>
      <c r="M11" s="1">
        <v>802.0752</v>
      </c>
    </row>
    <row r="12" spans="1:13" ht="18" x14ac:dyDescent="0.4">
      <c r="A12" s="102" t="s">
        <v>19</v>
      </c>
      <c r="B12" s="5" t="s">
        <v>8</v>
      </c>
      <c r="C12" s="33">
        <f>(C9-C10)/C9*100</f>
        <v>37.719690639673317</v>
      </c>
      <c r="D12" s="33">
        <f t="shared" ref="D12:M12" si="1">(D9-D10)/D9*100</f>
        <v>45.142376116110114</v>
      </c>
      <c r="E12" s="33">
        <f t="shared" si="1"/>
        <v>52.499059336950374</v>
      </c>
      <c r="F12" s="33">
        <f t="shared" si="1"/>
        <v>59.785576200688752</v>
      </c>
      <c r="G12" s="33">
        <f t="shared" si="1"/>
        <v>67.001265936727108</v>
      </c>
      <c r="H12" s="33">
        <f t="shared" si="1"/>
        <v>74.135830497630067</v>
      </c>
      <c r="I12" s="33">
        <f t="shared" si="1"/>
        <v>81.185592009313638</v>
      </c>
      <c r="J12" s="33">
        <f t="shared" si="1"/>
        <v>88.12834608620588</v>
      </c>
      <c r="K12" s="34">
        <f t="shared" si="1"/>
        <v>90.006034206971805</v>
      </c>
      <c r="L12" s="33">
        <f t="shared" si="1"/>
        <v>94.889999149725384</v>
      </c>
      <c r="M12" s="33">
        <f t="shared" si="1"/>
        <v>99.997690674083245</v>
      </c>
    </row>
    <row r="13" spans="1:13" x14ac:dyDescent="0.3">
      <c r="A13" s="3" t="s">
        <v>20</v>
      </c>
      <c r="B13" s="2" t="s">
        <v>1</v>
      </c>
      <c r="C13" s="1">
        <v>47.957520000000002</v>
      </c>
      <c r="D13" s="1">
        <v>50.918089999999999</v>
      </c>
      <c r="E13" s="1">
        <v>53.404359999999997</v>
      </c>
      <c r="F13" s="1">
        <v>55.522320000000001</v>
      </c>
      <c r="G13" s="1">
        <v>57.343640000000001</v>
      </c>
      <c r="H13" s="1">
        <v>58.913870000000003</v>
      </c>
      <c r="I13" s="1">
        <v>60.254809999999999</v>
      </c>
      <c r="J13" s="1">
        <v>61.351750000000003</v>
      </c>
      <c r="K13" s="32">
        <v>61.598939999999999</v>
      </c>
      <c r="L13" s="114">
        <v>62.065489999999997</v>
      </c>
      <c r="M13" s="1">
        <v>59.481969999999997</v>
      </c>
    </row>
    <row r="14" spans="1:13" ht="18" x14ac:dyDescent="0.4">
      <c r="A14" s="3" t="s">
        <v>21</v>
      </c>
      <c r="B14" s="2" t="s">
        <v>1</v>
      </c>
      <c r="C14" s="1">
        <v>18.535520000000002</v>
      </c>
      <c r="D14" s="1">
        <v>19.808540000000001</v>
      </c>
      <c r="E14" s="1">
        <v>21.223710000000001</v>
      </c>
      <c r="F14" s="1">
        <v>22.711379999999998</v>
      </c>
      <c r="G14" s="1">
        <v>24.233350000000002</v>
      </c>
      <c r="H14" s="1">
        <v>25.771100000000001</v>
      </c>
      <c r="I14" s="1">
        <v>27.328040000000001</v>
      </c>
      <c r="J14" s="1">
        <v>28.946929999999998</v>
      </c>
      <c r="K14" s="32">
        <v>29.412430000000001</v>
      </c>
      <c r="L14" s="114">
        <v>30.778829999999999</v>
      </c>
      <c r="M14" s="1">
        <v>36.312860000000001</v>
      </c>
    </row>
    <row r="15" spans="1:13" x14ac:dyDescent="0.3">
      <c r="A15" s="3" t="s">
        <v>109</v>
      </c>
      <c r="B15" s="2" t="s">
        <v>5</v>
      </c>
      <c r="C15" s="1">
        <f>0.3164308+114.7454</f>
        <v>115.06183080000001</v>
      </c>
      <c r="D15" s="1">
        <f>0.4769006+133.4738</f>
        <v>133.9507006</v>
      </c>
      <c r="E15" s="1">
        <f>0.679316+152.0663</f>
        <v>152.74561600000001</v>
      </c>
      <c r="F15" s="1">
        <f>0.930005+170.6259</f>
        <v>171.555905</v>
      </c>
      <c r="G15" s="1">
        <f>1.239582+189.3679</f>
        <v>190.607482</v>
      </c>
      <c r="H15" s="1">
        <f>1.626983+208.6536</f>
        <v>210.28058300000001</v>
      </c>
      <c r="I15" s="1">
        <f>2.127774+229.2047</f>
        <v>231.33247399999999</v>
      </c>
      <c r="J15" s="1">
        <f>2.828244+252.7514</f>
        <v>255.579644</v>
      </c>
      <c r="K15" s="32">
        <f>3.080834+260.2819</f>
        <v>263.36273399999999</v>
      </c>
      <c r="L15" s="114">
        <f>4.013796+285.655</f>
        <v>289.66879599999999</v>
      </c>
      <c r="M15" s="1">
        <f>8.343207+441.1052</f>
        <v>449.44840700000003</v>
      </c>
    </row>
    <row r="16" spans="1:13" ht="18" x14ac:dyDescent="0.4">
      <c r="A16" s="3" t="s">
        <v>22</v>
      </c>
      <c r="B16" s="2" t="s">
        <v>105</v>
      </c>
      <c r="C16" s="1">
        <f>6874.513/(12396.68+1599.464)</f>
        <v>0.4911719256389474</v>
      </c>
      <c r="D16" s="1">
        <f>8227.316/(14874.42+1968.354)</f>
        <v>0.48847749189058765</v>
      </c>
      <c r="E16" s="1">
        <f>9568.091/(17351.48+2338.825)</f>
        <v>0.48592903969745516</v>
      </c>
      <c r="F16" s="1">
        <f>10896.08/(19827.75+2709.677)</f>
        <v>0.48346601411066137</v>
      </c>
      <c r="G16" s="1">
        <f>12211.15/(22303.04+3078.409)</f>
        <v>0.48110531435774212</v>
      </c>
      <c r="H16" s="1">
        <f>13511.45/(24777.09+3440.833)</f>
        <v>0.47882510700734426</v>
      </c>
      <c r="I16" s="1">
        <f>14796.29/(27249.26+3788.564)</f>
        <v>0.47671801992304624</v>
      </c>
      <c r="J16" s="1">
        <f>16061.62/(29718.16+4101.517)</f>
        <v>0.47491937903487375</v>
      </c>
      <c r="K16" s="32">
        <f>16403.84/(30393.65+4174.744)</f>
        <v>0.47453289267647203</v>
      </c>
      <c r="L16" s="114">
        <f>17293.95/(32179.13+4305.844)</f>
        <v>0.47400198229550611</v>
      </c>
      <c r="M16" s="1">
        <f>18224.84/(34588.62+3087.476)</f>
        <v>0.48372421601218973</v>
      </c>
    </row>
    <row r="17" spans="1:13" ht="18" x14ac:dyDescent="0.4">
      <c r="A17" s="3" t="s">
        <v>23</v>
      </c>
      <c r="B17" s="2" t="s">
        <v>1</v>
      </c>
      <c r="C17" s="1">
        <v>65</v>
      </c>
      <c r="D17" s="1">
        <v>65</v>
      </c>
      <c r="E17" s="1">
        <v>65</v>
      </c>
      <c r="F17" s="1">
        <v>65</v>
      </c>
      <c r="G17" s="1">
        <v>65</v>
      </c>
      <c r="H17" s="1">
        <v>65</v>
      </c>
      <c r="I17" s="1">
        <v>65</v>
      </c>
      <c r="J17" s="1">
        <v>65</v>
      </c>
      <c r="K17" s="32">
        <v>65</v>
      </c>
      <c r="L17" s="114">
        <v>65</v>
      </c>
      <c r="M17" s="1">
        <v>65</v>
      </c>
    </row>
    <row r="18" spans="1:13" ht="18" x14ac:dyDescent="0.4">
      <c r="A18" s="3" t="s">
        <v>24</v>
      </c>
      <c r="B18" s="2" t="s">
        <v>105</v>
      </c>
      <c r="C18" s="1">
        <v>0.21</v>
      </c>
      <c r="D18" s="1">
        <v>0.21</v>
      </c>
      <c r="E18" s="1">
        <v>0.21</v>
      </c>
      <c r="F18" s="1">
        <v>0.21</v>
      </c>
      <c r="G18" s="1">
        <v>0.21</v>
      </c>
      <c r="H18" s="1">
        <v>0.21</v>
      </c>
      <c r="I18" s="1">
        <v>0.21</v>
      </c>
      <c r="J18" s="1">
        <v>0.21</v>
      </c>
      <c r="K18" s="32">
        <v>0.21</v>
      </c>
      <c r="L18" s="114">
        <v>0.21</v>
      </c>
      <c r="M18" s="1">
        <v>0.21</v>
      </c>
    </row>
    <row r="19" spans="1:13" x14ac:dyDescent="0.3">
      <c r="A19" s="3" t="s">
        <v>25</v>
      </c>
      <c r="B19" s="2" t="s">
        <v>10</v>
      </c>
      <c r="C19" s="30">
        <v>853.65700000000004</v>
      </c>
      <c r="D19" s="30">
        <v>1027.02</v>
      </c>
      <c r="E19" s="30">
        <v>1200.77</v>
      </c>
      <c r="F19" s="30">
        <v>1374.92</v>
      </c>
      <c r="G19" s="30">
        <v>1549.44</v>
      </c>
      <c r="H19" s="30">
        <v>1724.23</v>
      </c>
      <c r="I19" s="30">
        <v>1898.91</v>
      </c>
      <c r="J19" s="30">
        <v>2071.96</v>
      </c>
      <c r="K19" s="32">
        <v>2118.9899999999998</v>
      </c>
      <c r="L19" s="30">
        <v>2241.9299999999998</v>
      </c>
      <c r="M19" s="30">
        <v>2388.9</v>
      </c>
    </row>
    <row r="20" spans="1:13" ht="18" x14ac:dyDescent="0.4">
      <c r="A20" s="3" t="s">
        <v>26</v>
      </c>
      <c r="B20" s="2" t="s">
        <v>1</v>
      </c>
      <c r="C20" s="1">
        <v>122.7424</v>
      </c>
      <c r="D20" s="1">
        <v>122.70780000000001</v>
      </c>
      <c r="E20" s="1">
        <v>122.67829999999999</v>
      </c>
      <c r="F20" s="1">
        <v>122.6504</v>
      </c>
      <c r="G20" s="1">
        <v>122.62390000000001</v>
      </c>
      <c r="H20" s="1">
        <v>122.5972</v>
      </c>
      <c r="I20" s="1">
        <v>122.5719</v>
      </c>
      <c r="J20" s="1">
        <v>122.54640000000001</v>
      </c>
      <c r="K20" s="32">
        <v>122.53919999999999</v>
      </c>
      <c r="L20" s="114">
        <v>122.51819999999999</v>
      </c>
      <c r="M20" s="1">
        <v>122.4845</v>
      </c>
    </row>
    <row r="21" spans="1:13" x14ac:dyDescent="0.3">
      <c r="A21" s="3" t="s">
        <v>108</v>
      </c>
      <c r="B21" s="2" t="s">
        <v>5</v>
      </c>
      <c r="C21" s="1">
        <f>0.0330296+5.159022</f>
        <v>5.1920516000000001</v>
      </c>
      <c r="D21" s="1">
        <f>0.03931956+6.321864</f>
        <v>6.3611835599999997</v>
      </c>
      <c r="E21" s="1">
        <f>0.04553372+7.486191</f>
        <v>7.5317247199999997</v>
      </c>
      <c r="F21" s="1">
        <f>0.05167838+8.650521</f>
        <v>8.7021993799999997</v>
      </c>
      <c r="G21" s="1">
        <f>0.05771575+9.80787</f>
        <v>9.8655857499999993</v>
      </c>
      <c r="H21" s="1">
        <f>0.06369786+10.95195</f>
        <v>11.01564786</v>
      </c>
      <c r="I21" s="1">
        <f>0.06978519+12.07862</f>
        <v>12.14840519</v>
      </c>
      <c r="J21" s="1"/>
      <c r="K21" s="32">
        <f>0.07866073+13.48198</f>
        <v>13.560640729999999</v>
      </c>
      <c r="L21" s="114">
        <f>0.08463909+14.15989</f>
        <v>14.24452909</v>
      </c>
      <c r="M21" s="1">
        <f>0.09852314+11.85024</f>
        <v>11.948763139999999</v>
      </c>
    </row>
    <row r="22" spans="1:13" x14ac:dyDescent="0.3">
      <c r="A22" s="3" t="s">
        <v>106</v>
      </c>
      <c r="B22" s="2" t="s">
        <v>5</v>
      </c>
      <c r="C22" s="1">
        <f>C21+C15</f>
        <v>120.25388240000001</v>
      </c>
      <c r="D22" s="1">
        <f t="shared" ref="D22:M22" si="2">D21+D15</f>
        <v>140.31188416000001</v>
      </c>
      <c r="E22" s="1">
        <f t="shared" si="2"/>
        <v>160.27734072000001</v>
      </c>
      <c r="F22" s="1">
        <f t="shared" si="2"/>
        <v>180.25810437999999</v>
      </c>
      <c r="G22" s="1">
        <f t="shared" si="2"/>
        <v>200.47306775000001</v>
      </c>
      <c r="H22" s="1">
        <f t="shared" si="2"/>
        <v>221.29623086000001</v>
      </c>
      <c r="I22" s="1">
        <f t="shared" si="2"/>
        <v>243.48087919</v>
      </c>
      <c r="J22" s="1">
        <f t="shared" si="2"/>
        <v>255.579644</v>
      </c>
      <c r="K22" s="32">
        <f t="shared" si="2"/>
        <v>276.92337472999998</v>
      </c>
      <c r="L22" s="1">
        <f t="shared" si="2"/>
        <v>303.91332509</v>
      </c>
      <c r="M22" s="1">
        <f t="shared" si="2"/>
        <v>461.39717014000001</v>
      </c>
    </row>
    <row r="23" spans="1:13" x14ac:dyDescent="0.3">
      <c r="A23" s="3" t="s">
        <v>107</v>
      </c>
      <c r="B23" s="2" t="s">
        <v>52</v>
      </c>
      <c r="C23" s="1">
        <f>C22/C11*1000</f>
        <v>397.4713454722617</v>
      </c>
      <c r="D23" s="1">
        <f t="shared" ref="D23:M23" si="3">D22/D11*1000</f>
        <v>387.51175599487635</v>
      </c>
      <c r="E23" s="1">
        <f t="shared" si="3"/>
        <v>380.61857652749848</v>
      </c>
      <c r="F23" s="1">
        <f t="shared" si="3"/>
        <v>375.90077495681243</v>
      </c>
      <c r="G23" s="1">
        <f t="shared" si="3"/>
        <v>373.03366750847772</v>
      </c>
      <c r="H23" s="1">
        <f t="shared" si="3"/>
        <v>372.15229420745931</v>
      </c>
      <c r="I23" s="1">
        <f t="shared" si="3"/>
        <v>373.90454133896901</v>
      </c>
      <c r="J23" s="1">
        <f t="shared" si="3"/>
        <v>361.56419810599397</v>
      </c>
      <c r="K23" s="32">
        <f t="shared" si="3"/>
        <v>383.58608270742087</v>
      </c>
      <c r="L23" s="1">
        <f t="shared" si="3"/>
        <v>399.30438824033786</v>
      </c>
      <c r="M23" s="1">
        <f t="shared" si="3"/>
        <v>575.25425314234883</v>
      </c>
    </row>
    <row r="24" spans="1:13" x14ac:dyDescent="0.3">
      <c r="A24" s="3" t="s">
        <v>34</v>
      </c>
      <c r="B24" s="2" t="s">
        <v>28</v>
      </c>
      <c r="C24" s="30">
        <f>C19/C11</f>
        <v>2.8215654213407291</v>
      </c>
      <c r="D24" s="30">
        <f t="shared" ref="D24:M24" si="4">D19/D11</f>
        <v>2.8364120831563486</v>
      </c>
      <c r="E24" s="30">
        <f t="shared" si="4"/>
        <v>2.8515282702085267</v>
      </c>
      <c r="F24" s="30">
        <f t="shared" si="4"/>
        <v>2.8671858903724514</v>
      </c>
      <c r="G24" s="30">
        <f t="shared" si="4"/>
        <v>2.8831468100499285</v>
      </c>
      <c r="H24" s="30">
        <f t="shared" si="4"/>
        <v>2.8996253020110188</v>
      </c>
      <c r="I24" s="30">
        <f t="shared" si="4"/>
        <v>2.9160855462490973</v>
      </c>
      <c r="J24" s="30">
        <f t="shared" si="4"/>
        <v>2.9311667556266543</v>
      </c>
      <c r="K24" s="32">
        <f t="shared" si="4"/>
        <v>2.935162386305207</v>
      </c>
      <c r="L24" s="30">
        <f t="shared" si="4"/>
        <v>2.9456177575055484</v>
      </c>
      <c r="M24" s="30">
        <f t="shared" si="4"/>
        <v>2.9783990329086349</v>
      </c>
    </row>
    <row r="25" spans="1:13" x14ac:dyDescent="0.3">
      <c r="A25" s="150" t="s">
        <v>27</v>
      </c>
      <c r="B25" s="12" t="s">
        <v>36</v>
      </c>
      <c r="C25" s="1"/>
      <c r="D25" s="1"/>
      <c r="E25" s="1"/>
      <c r="F25" s="1"/>
      <c r="G25" s="1"/>
      <c r="H25" s="1"/>
      <c r="I25" s="1"/>
      <c r="J25" s="1"/>
      <c r="K25" s="32"/>
      <c r="M25" s="1"/>
    </row>
    <row r="26" spans="1:13" x14ac:dyDescent="0.3">
      <c r="A26" s="150"/>
      <c r="B26" s="2" t="s">
        <v>11</v>
      </c>
      <c r="C26" s="1">
        <v>0.86764209999999997</v>
      </c>
      <c r="D26" s="1">
        <v>0.86708759999999996</v>
      </c>
      <c r="E26" s="1">
        <v>0.86660250000000005</v>
      </c>
      <c r="F26" s="1">
        <v>0.86613980000000002</v>
      </c>
      <c r="G26" s="1">
        <v>0.86572459999999996</v>
      </c>
      <c r="H26" s="1">
        <v>0.86529869999999998</v>
      </c>
      <c r="I26" s="1">
        <v>0.86475570000000002</v>
      </c>
      <c r="J26" s="1">
        <v>0.863703</v>
      </c>
      <c r="K26" s="32">
        <v>0.86332900000000001</v>
      </c>
      <c r="L26" s="114">
        <v>0.86208549999999995</v>
      </c>
      <c r="M26" s="1">
        <v>0.85975749999999995</v>
      </c>
    </row>
    <row r="27" spans="1:13" x14ac:dyDescent="0.3">
      <c r="A27" s="150"/>
      <c r="B27" s="2" t="s">
        <v>12</v>
      </c>
      <c r="C27" s="1">
        <v>2.1007389999999999E-3</v>
      </c>
      <c r="D27" s="1">
        <v>1.9860099999999999E-3</v>
      </c>
      <c r="E27" s="1">
        <v>1.8671359999999999E-3</v>
      </c>
      <c r="F27" s="1">
        <v>1.7515250000000001E-3</v>
      </c>
      <c r="G27" s="1">
        <v>1.6425179999999999E-3</v>
      </c>
      <c r="H27" s="1">
        <v>1.5412609999999999E-3</v>
      </c>
      <c r="I27" s="1">
        <v>1.446697E-3</v>
      </c>
      <c r="J27" s="1">
        <v>1.3556359999999999E-3</v>
      </c>
      <c r="K27" s="32">
        <v>1.3307799999999999E-3</v>
      </c>
      <c r="L27" s="114">
        <v>1.261231E-3</v>
      </c>
      <c r="M27" s="1">
        <v>1.030406E-3</v>
      </c>
    </row>
    <row r="28" spans="1:13" x14ac:dyDescent="0.3">
      <c r="A28" s="150"/>
      <c r="B28" s="2" t="s">
        <v>13</v>
      </c>
      <c r="C28" s="1">
        <v>1.171755E-4</v>
      </c>
      <c r="D28" s="1">
        <v>1.146985E-4</v>
      </c>
      <c r="E28" s="1">
        <v>1.120192E-4</v>
      </c>
      <c r="F28" s="1">
        <v>1.093453E-4</v>
      </c>
      <c r="G28" s="1">
        <v>1.06772E-4</v>
      </c>
      <c r="H28" s="1">
        <v>1.0434870000000001E-4</v>
      </c>
      <c r="I28" s="1">
        <v>1.020481E-4</v>
      </c>
      <c r="J28" s="35">
        <v>9.9775519999999995E-5</v>
      </c>
      <c r="K28" s="36">
        <v>9.9147849999999996E-5</v>
      </c>
      <c r="L28" s="115">
        <v>9.7382169999999995E-5</v>
      </c>
      <c r="M28" s="35">
        <v>9.1814060000000003E-5</v>
      </c>
    </row>
    <row r="29" spans="1:13" x14ac:dyDescent="0.3">
      <c r="A29" s="150"/>
      <c r="B29" s="2" t="s">
        <v>14</v>
      </c>
      <c r="C29" s="35">
        <v>2.0488739999999999E-5</v>
      </c>
      <c r="D29" s="35">
        <v>2.005466E-5</v>
      </c>
      <c r="E29" s="35">
        <v>1.9581880000000002E-5</v>
      </c>
      <c r="F29" s="35">
        <v>1.9106120000000001E-5</v>
      </c>
      <c r="G29" s="35">
        <v>1.8644210000000001E-5</v>
      </c>
      <c r="H29" s="35">
        <v>1.8205039999999999E-5</v>
      </c>
      <c r="I29" s="35">
        <v>1.7783959999999998E-5</v>
      </c>
      <c r="J29" s="35">
        <v>1.736398E-5</v>
      </c>
      <c r="K29" s="36">
        <v>1.7247189999999999E-5</v>
      </c>
      <c r="L29" s="115">
        <v>1.691646E-5</v>
      </c>
      <c r="M29" s="35">
        <v>1.5834249999999998E-5</v>
      </c>
    </row>
    <row r="30" spans="1:13" x14ac:dyDescent="0.3">
      <c r="A30" s="150"/>
      <c r="B30" s="2" t="s">
        <v>15</v>
      </c>
      <c r="C30" s="1">
        <v>0.1061551</v>
      </c>
      <c r="D30" s="1">
        <v>0.10623589999999999</v>
      </c>
      <c r="E30" s="1">
        <v>0.1063656</v>
      </c>
      <c r="F30" s="1">
        <v>0.1065417</v>
      </c>
      <c r="G30" s="1">
        <v>0.10672710000000001</v>
      </c>
      <c r="H30" s="1">
        <v>0.1069697</v>
      </c>
      <c r="I30" s="1">
        <v>0.1073718</v>
      </c>
      <c r="J30" s="1">
        <v>0.10831200000000001</v>
      </c>
      <c r="K30" s="32">
        <v>0.10867930000000001</v>
      </c>
      <c r="L30" s="114">
        <v>0.1100574</v>
      </c>
      <c r="M30" s="1">
        <v>0.1178096</v>
      </c>
    </row>
    <row r="31" spans="1:13" x14ac:dyDescent="0.3">
      <c r="A31" s="150"/>
      <c r="B31" s="2" t="s">
        <v>0</v>
      </c>
      <c r="C31" s="1">
        <v>1.524509E-4</v>
      </c>
      <c r="D31" s="1">
        <v>1.5178359999999999E-4</v>
      </c>
      <c r="E31" s="1">
        <v>1.513404E-4</v>
      </c>
      <c r="F31" s="1">
        <v>1.510684E-4</v>
      </c>
      <c r="G31" s="1">
        <v>1.5082020000000001E-4</v>
      </c>
      <c r="H31" s="1">
        <v>1.507363E-4</v>
      </c>
      <c r="I31" s="1">
        <v>1.5111160000000001E-4</v>
      </c>
      <c r="J31" s="1">
        <v>1.5311470000000001E-4</v>
      </c>
      <c r="K31" s="32">
        <v>1.539759E-4</v>
      </c>
      <c r="L31" s="114">
        <v>1.5735059999999999E-4</v>
      </c>
      <c r="M31" s="1">
        <v>1.7558609999999999E-4</v>
      </c>
    </row>
    <row r="32" spans="1:13" x14ac:dyDescent="0.3">
      <c r="A32" s="150"/>
      <c r="B32" s="2" t="s">
        <v>104</v>
      </c>
      <c r="C32" s="1">
        <v>2.38119E-2</v>
      </c>
      <c r="D32" s="1">
        <v>2.440401E-2</v>
      </c>
      <c r="E32" s="1">
        <v>2.4881839999999999E-2</v>
      </c>
      <c r="F32" s="1">
        <v>2.5287560000000001E-2</v>
      </c>
      <c r="G32" s="1">
        <v>2.5629490000000001E-2</v>
      </c>
      <c r="H32" s="1">
        <v>2.5916979999999999E-2</v>
      </c>
      <c r="I32" s="1">
        <v>2.615483E-2</v>
      </c>
      <c r="J32" s="1">
        <v>2.6359190000000001E-2</v>
      </c>
      <c r="K32" s="32">
        <v>2.6390549999999999E-2</v>
      </c>
      <c r="L32" s="114">
        <v>2.6324319999999998E-2</v>
      </c>
      <c r="M32" s="1">
        <v>2.1119269999999999E-2</v>
      </c>
    </row>
    <row r="33" spans="1:13" x14ac:dyDescent="0.3">
      <c r="A33" s="150" t="s">
        <v>27</v>
      </c>
      <c r="B33" s="12" t="s">
        <v>35</v>
      </c>
      <c r="C33" s="1"/>
      <c r="D33" s="1"/>
      <c r="E33" s="1"/>
      <c r="F33" s="1"/>
      <c r="G33" s="1"/>
      <c r="H33" s="1"/>
      <c r="I33" s="1"/>
      <c r="J33" s="1"/>
      <c r="K33" s="32"/>
      <c r="M33" s="1"/>
    </row>
    <row r="34" spans="1:13" x14ac:dyDescent="0.3">
      <c r="A34" s="150"/>
      <c r="B34" s="2" t="s">
        <v>11</v>
      </c>
      <c r="C34" s="1">
        <v>0.76048479999999996</v>
      </c>
      <c r="D34" s="1">
        <v>0.76009090000000001</v>
      </c>
      <c r="E34" s="1">
        <v>0.75967289999999998</v>
      </c>
      <c r="F34" s="1">
        <v>0.75920719999999997</v>
      </c>
      <c r="G34" s="1">
        <v>0.75875510000000002</v>
      </c>
      <c r="H34" s="1">
        <v>0.75822259999999997</v>
      </c>
      <c r="I34" s="1">
        <v>0.75742019999999999</v>
      </c>
      <c r="J34" s="1">
        <v>0.75564889999999996</v>
      </c>
      <c r="K34" s="32">
        <v>0.75497700000000001</v>
      </c>
      <c r="L34" s="114">
        <v>0.75254650000000001</v>
      </c>
      <c r="M34" s="1">
        <v>0.74158400000000002</v>
      </c>
    </row>
    <row r="35" spans="1:13" x14ac:dyDescent="0.3">
      <c r="A35" s="150"/>
      <c r="B35" s="2" t="s">
        <v>12</v>
      </c>
      <c r="C35" s="1">
        <v>1.2648889999999999E-3</v>
      </c>
      <c r="D35" s="1">
        <v>1.1959539999999999E-3</v>
      </c>
      <c r="E35" s="1">
        <v>1.1243799999999999E-3</v>
      </c>
      <c r="F35" s="1">
        <v>1.0546760000000001E-3</v>
      </c>
      <c r="G35" s="1">
        <v>9.8892300000000006E-4</v>
      </c>
      <c r="H35" s="1">
        <v>9.2776380000000002E-4</v>
      </c>
      <c r="I35" s="1">
        <v>8.7046539999999998E-4</v>
      </c>
      <c r="J35" s="1">
        <v>8.1475899999999997E-4</v>
      </c>
      <c r="K35" s="32">
        <v>7.9945530000000002E-4</v>
      </c>
      <c r="L35" s="114">
        <v>7.5632430000000005E-4</v>
      </c>
      <c r="M35" s="1">
        <v>6.1055280000000005E-4</v>
      </c>
    </row>
    <row r="36" spans="1:13" x14ac:dyDescent="0.3">
      <c r="A36" s="150"/>
      <c r="B36" s="2" t="s">
        <v>13</v>
      </c>
      <c r="C36" s="1">
        <v>1.613478E-4</v>
      </c>
      <c r="D36" s="1">
        <v>1.5795619999999999E-4</v>
      </c>
      <c r="E36" s="1">
        <v>1.5426789999999999E-4</v>
      </c>
      <c r="F36" s="1">
        <v>1.5057349999999999E-4</v>
      </c>
      <c r="G36" s="1">
        <v>1.470129E-4</v>
      </c>
      <c r="H36" s="1">
        <v>1.4364609999999999E-4</v>
      </c>
      <c r="I36" s="1">
        <v>1.404186E-4</v>
      </c>
      <c r="J36" s="1">
        <v>1.3713740000000001E-4</v>
      </c>
      <c r="K36" s="32">
        <v>1.3621250000000001E-4</v>
      </c>
      <c r="L36" s="114">
        <v>1.3354839999999999E-4</v>
      </c>
      <c r="M36" s="1">
        <v>1.244141E-4</v>
      </c>
    </row>
    <row r="37" spans="1:13" x14ac:dyDescent="0.3">
      <c r="A37" s="150"/>
      <c r="B37" s="2" t="s">
        <v>14</v>
      </c>
      <c r="C37" s="35">
        <v>2.4699040000000001E-5</v>
      </c>
      <c r="D37" s="35">
        <v>2.4178689999999999E-5</v>
      </c>
      <c r="E37" s="35">
        <v>2.3608910000000001E-5</v>
      </c>
      <c r="F37" s="35">
        <v>2.3033490000000002E-5</v>
      </c>
      <c r="G37" s="35">
        <v>2.247402E-5</v>
      </c>
      <c r="H37" s="35">
        <v>2.1940029999999999E-5</v>
      </c>
      <c r="I37" s="35">
        <v>2.142332E-5</v>
      </c>
      <c r="J37" s="35">
        <v>2.0893920000000001E-5</v>
      </c>
      <c r="K37" s="36">
        <v>2.074391E-5</v>
      </c>
      <c r="L37" s="115">
        <v>2.0309879999999999E-5</v>
      </c>
      <c r="M37" s="35">
        <v>1.8784380000000001E-5</v>
      </c>
    </row>
    <row r="38" spans="1:13" x14ac:dyDescent="0.3">
      <c r="A38" s="150"/>
      <c r="B38" s="2" t="s">
        <v>15</v>
      </c>
      <c r="C38" s="1">
        <v>0.22730439999999999</v>
      </c>
      <c r="D38" s="1">
        <v>0.22750500000000001</v>
      </c>
      <c r="E38" s="1">
        <v>0.22778490000000001</v>
      </c>
      <c r="F38" s="1">
        <v>0.22814400000000001</v>
      </c>
      <c r="G38" s="1">
        <v>0.22851450000000001</v>
      </c>
      <c r="H38" s="1">
        <v>0.22898579999999999</v>
      </c>
      <c r="I38" s="1">
        <v>0.22974749999999999</v>
      </c>
      <c r="J38" s="1">
        <v>0.23149900000000001</v>
      </c>
      <c r="K38" s="32">
        <v>0.2321782</v>
      </c>
      <c r="L38" s="114">
        <v>0.2347033</v>
      </c>
      <c r="M38" s="1">
        <v>0.24824589999999999</v>
      </c>
    </row>
    <row r="39" spans="1:13" x14ac:dyDescent="0.3">
      <c r="A39" s="150"/>
      <c r="B39" s="2" t="s">
        <v>0</v>
      </c>
      <c r="C39" s="35">
        <v>9.6272839999999994E-5</v>
      </c>
      <c r="D39" s="35">
        <v>9.5863080000000006E-5</v>
      </c>
      <c r="E39" s="35">
        <v>9.5584040000000001E-5</v>
      </c>
      <c r="F39" s="35">
        <v>9.5404710000000006E-5</v>
      </c>
      <c r="G39" s="35">
        <v>9.5236900000000003E-5</v>
      </c>
      <c r="H39" s="35">
        <v>9.5163969999999997E-5</v>
      </c>
      <c r="I39" s="35">
        <v>9.5359760000000005E-5</v>
      </c>
      <c r="J39" s="35">
        <v>9.6515370000000006E-5</v>
      </c>
      <c r="K39" s="36">
        <v>9.7013919999999998E-5</v>
      </c>
      <c r="L39" s="115">
        <v>9.8963560000000006E-5</v>
      </c>
      <c r="M39" s="1">
        <v>1.091185E-4</v>
      </c>
    </row>
    <row r="40" spans="1:13" x14ac:dyDescent="0.3">
      <c r="A40" s="150"/>
      <c r="B40" s="2" t="s">
        <v>104</v>
      </c>
      <c r="C40" s="1">
        <v>1.066364E-2</v>
      </c>
      <c r="D40" s="1">
        <v>1.093013E-2</v>
      </c>
      <c r="E40" s="1">
        <v>1.114425E-2</v>
      </c>
      <c r="F40" s="1">
        <v>1.132507E-2</v>
      </c>
      <c r="G40" s="1">
        <v>1.147687E-2</v>
      </c>
      <c r="H40" s="1">
        <v>1.1603169999999999E-2</v>
      </c>
      <c r="I40" s="1">
        <v>1.1704610000000001E-2</v>
      </c>
      <c r="J40" s="1">
        <v>1.1782819999999999E-2</v>
      </c>
      <c r="K40" s="32">
        <v>1.179146E-2</v>
      </c>
      <c r="L40" s="114">
        <v>1.174091E-2</v>
      </c>
      <c r="M40" s="1">
        <v>9.3073259999999994E-3</v>
      </c>
    </row>
    <row r="41" spans="1:13" x14ac:dyDescent="0.3">
      <c r="L41" s="116"/>
    </row>
  </sheetData>
  <mergeCells count="2">
    <mergeCell ref="A25:A32"/>
    <mergeCell ref="A33:A40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0"/>
  <sheetViews>
    <sheetView zoomScale="80" zoomScaleNormal="80" workbookViewId="0">
      <selection activeCell="H27" sqref="H27"/>
    </sheetView>
  </sheetViews>
  <sheetFormatPr defaultRowHeight="15.6" x14ac:dyDescent="0.3"/>
  <cols>
    <col min="1" max="1" width="60.19921875" customWidth="1"/>
    <col min="2" max="2" width="24.3984375" customWidth="1"/>
    <col min="3" max="3" width="10.59765625" customWidth="1"/>
  </cols>
  <sheetData>
    <row r="1" spans="1:15" x14ac:dyDescent="0.3">
      <c r="A1" s="61" t="s">
        <v>96</v>
      </c>
      <c r="B1" s="62" t="s">
        <v>8</v>
      </c>
      <c r="C1" s="64" t="s">
        <v>89</v>
      </c>
    </row>
    <row r="2" spans="1:15" x14ac:dyDescent="0.3">
      <c r="A2" s="3" t="s">
        <v>17</v>
      </c>
      <c r="B2" s="2" t="s">
        <v>1</v>
      </c>
      <c r="C2" s="96">
        <v>40</v>
      </c>
      <c r="D2" s="96">
        <v>40</v>
      </c>
      <c r="E2" s="96">
        <v>40</v>
      </c>
      <c r="F2" s="96">
        <v>40</v>
      </c>
      <c r="G2" s="96">
        <v>40</v>
      </c>
      <c r="H2" s="96">
        <v>40</v>
      </c>
      <c r="I2" s="96">
        <v>40</v>
      </c>
      <c r="J2" s="96">
        <v>40</v>
      </c>
      <c r="K2" s="96">
        <v>40</v>
      </c>
      <c r="L2" s="96">
        <v>40</v>
      </c>
      <c r="M2" s="96">
        <v>40</v>
      </c>
      <c r="N2" s="96">
        <v>40</v>
      </c>
      <c r="O2" s="96">
        <v>40</v>
      </c>
    </row>
    <row r="3" spans="1:15" x14ac:dyDescent="0.3">
      <c r="A3" s="3" t="s">
        <v>16</v>
      </c>
      <c r="B3" s="2" t="s">
        <v>2</v>
      </c>
      <c r="C3" s="96">
        <v>1.0129999999999999</v>
      </c>
      <c r="D3" s="96">
        <v>1.0129999999999999</v>
      </c>
      <c r="E3" s="96">
        <v>1.0129999999999999</v>
      </c>
      <c r="F3" s="96">
        <v>1.0129999999999999</v>
      </c>
      <c r="G3" s="96">
        <v>1.0129999999999999</v>
      </c>
      <c r="H3" s="96">
        <v>1.0129999999999999</v>
      </c>
      <c r="I3" s="96">
        <v>1.0129999999999999</v>
      </c>
      <c r="J3" s="96">
        <v>1.0129999999999999</v>
      </c>
      <c r="K3" s="96">
        <v>1.0129999999999999</v>
      </c>
      <c r="L3" s="96">
        <v>1.0129999999999999</v>
      </c>
      <c r="M3" s="96">
        <v>1.0129999999999999</v>
      </c>
      <c r="N3" s="96">
        <v>1.0129999999999999</v>
      </c>
      <c r="O3" s="96">
        <v>1.0129999999999999</v>
      </c>
    </row>
    <row r="4" spans="1:15" x14ac:dyDescent="0.3">
      <c r="A4" s="3" t="s">
        <v>3</v>
      </c>
      <c r="B4" s="2" t="s">
        <v>1</v>
      </c>
      <c r="C4" s="96">
        <v>40</v>
      </c>
      <c r="D4" s="96">
        <v>40</v>
      </c>
      <c r="E4" s="96">
        <v>40</v>
      </c>
      <c r="F4" s="96">
        <v>40</v>
      </c>
      <c r="G4" s="96">
        <v>40</v>
      </c>
      <c r="H4" s="96">
        <v>40</v>
      </c>
      <c r="I4" s="96">
        <v>40</v>
      </c>
      <c r="J4" s="96">
        <v>40</v>
      </c>
      <c r="K4" s="96">
        <v>40</v>
      </c>
      <c r="L4" s="96">
        <v>40</v>
      </c>
      <c r="M4" s="96">
        <v>40</v>
      </c>
      <c r="N4" s="96">
        <v>40</v>
      </c>
      <c r="O4" s="96">
        <v>40</v>
      </c>
    </row>
    <row r="5" spans="1:15" x14ac:dyDescent="0.3">
      <c r="A5" s="3" t="s">
        <v>18</v>
      </c>
      <c r="B5" s="2" t="s">
        <v>2</v>
      </c>
      <c r="C5" s="96">
        <v>1.0129999999999999</v>
      </c>
      <c r="D5" s="96">
        <v>1.0129999999999999</v>
      </c>
      <c r="E5" s="96">
        <v>1.0129999999999999</v>
      </c>
      <c r="F5" s="96">
        <v>1.0129999999999999</v>
      </c>
      <c r="G5" s="96">
        <v>1.0129999999999999</v>
      </c>
      <c r="H5" s="96">
        <v>1.0129999999999999</v>
      </c>
      <c r="I5" s="96">
        <v>1.0129999999999999</v>
      </c>
      <c r="J5" s="96">
        <v>1.0129999999999999</v>
      </c>
      <c r="K5" s="96">
        <v>1.0129999999999999</v>
      </c>
      <c r="L5" s="96">
        <v>1.0129999999999999</v>
      </c>
      <c r="M5" s="96">
        <v>1.0129999999999999</v>
      </c>
      <c r="N5" s="96">
        <v>1.0129999999999999</v>
      </c>
      <c r="O5" s="96">
        <v>1.0129999999999999</v>
      </c>
    </row>
    <row r="6" spans="1:15" x14ac:dyDescent="0.3">
      <c r="A6" s="3" t="s">
        <v>4</v>
      </c>
      <c r="B6" s="2" t="s">
        <v>5</v>
      </c>
      <c r="C6" s="77">
        <f>'MEA 30%'!$C$6</f>
        <v>5050.3680000000004</v>
      </c>
      <c r="D6" s="77">
        <f>'MEA 30%'!$C$6</f>
        <v>5050.3680000000004</v>
      </c>
      <c r="E6" s="77">
        <f>'MEA 30%'!$C$6</f>
        <v>5050.3680000000004</v>
      </c>
      <c r="F6" s="77">
        <f>'MEA 30%'!$C$6</f>
        <v>5050.3680000000004</v>
      </c>
      <c r="G6" s="77">
        <f>'MEA 30%'!$C$6</f>
        <v>5050.3680000000004</v>
      </c>
      <c r="H6" s="77">
        <f>'MEA 30%'!$C$6</f>
        <v>5050.3680000000004</v>
      </c>
      <c r="I6" s="77">
        <f>'MEA 30%'!$C$6</f>
        <v>5050.3680000000004</v>
      </c>
      <c r="J6" s="77">
        <f>'MEA 30%'!$C$6</f>
        <v>5050.3680000000004</v>
      </c>
      <c r="K6" s="77">
        <f>'MEA 30%'!$C$6</f>
        <v>5050.3680000000004</v>
      </c>
      <c r="L6" s="77">
        <f>'MEA 30%'!$C$6</f>
        <v>5050.3680000000004</v>
      </c>
      <c r="M6" s="77">
        <f>'MEA 30%'!$C$6</f>
        <v>5050.3680000000004</v>
      </c>
      <c r="N6" s="77">
        <f>'MEA 30%'!$C$6</f>
        <v>5050.3680000000004</v>
      </c>
      <c r="O6" s="77">
        <f>'MEA 30%'!$C$6</f>
        <v>5050.3680000000004</v>
      </c>
    </row>
    <row r="7" spans="1:15" x14ac:dyDescent="0.3">
      <c r="A7" s="6" t="s">
        <v>6</v>
      </c>
      <c r="B7" s="22" t="s">
        <v>5</v>
      </c>
      <c r="C7" s="31">
        <f>C6*C8</f>
        <v>2525.1840000000002</v>
      </c>
      <c r="D7" s="31">
        <f t="shared" ref="D7:O7" si="0">D6*D8</f>
        <v>3030.2208000000001</v>
      </c>
      <c r="E7" s="31">
        <f t="shared" si="0"/>
        <v>3535.2575999999999</v>
      </c>
      <c r="F7" s="31">
        <f t="shared" si="0"/>
        <v>4040.2944000000007</v>
      </c>
      <c r="G7" s="31">
        <f t="shared" si="0"/>
        <v>4545.3312000000005</v>
      </c>
      <c r="H7" s="31">
        <f t="shared" si="0"/>
        <v>5050.3680000000004</v>
      </c>
      <c r="I7" s="31">
        <f t="shared" si="0"/>
        <v>5555.4048000000012</v>
      </c>
      <c r="J7" s="31">
        <f t="shared" si="0"/>
        <v>6060.4416000000001</v>
      </c>
      <c r="K7" s="31">
        <f t="shared" si="0"/>
        <v>6565.4784000000009</v>
      </c>
      <c r="L7" s="31">
        <f t="shared" si="0"/>
        <v>7070.5151999999998</v>
      </c>
      <c r="M7" s="31">
        <f t="shared" si="0"/>
        <v>7575.5520000000006</v>
      </c>
      <c r="N7" s="31">
        <f t="shared" si="0"/>
        <v>8080.5888000000014</v>
      </c>
      <c r="O7" s="31">
        <f t="shared" si="0"/>
        <v>8585.6256000000012</v>
      </c>
    </row>
    <row r="8" spans="1:15" x14ac:dyDescent="0.3">
      <c r="A8" s="3" t="s">
        <v>7</v>
      </c>
      <c r="B8" s="2" t="s">
        <v>29</v>
      </c>
      <c r="C8" s="78">
        <v>0.5</v>
      </c>
      <c r="D8" s="89">
        <v>0.6</v>
      </c>
      <c r="E8" s="90">
        <v>0.7</v>
      </c>
      <c r="F8" s="90">
        <v>0.8</v>
      </c>
      <c r="G8" s="90">
        <v>0.9</v>
      </c>
      <c r="H8" s="90">
        <v>1</v>
      </c>
      <c r="I8" s="90">
        <v>1.1000000000000001</v>
      </c>
      <c r="J8" s="90">
        <v>1.2</v>
      </c>
      <c r="K8" s="90">
        <v>1.3</v>
      </c>
      <c r="L8" s="90">
        <v>1.4</v>
      </c>
      <c r="M8" s="90">
        <v>1.5</v>
      </c>
      <c r="N8" s="90">
        <v>1.6</v>
      </c>
      <c r="O8" s="90">
        <v>1.7</v>
      </c>
    </row>
    <row r="9" spans="1:15" ht="18" x14ac:dyDescent="0.4">
      <c r="A9" s="3" t="s">
        <v>32</v>
      </c>
      <c r="B9" s="2" t="s">
        <v>5</v>
      </c>
      <c r="C9" s="97">
        <v>802.09379999999999</v>
      </c>
      <c r="D9" s="97">
        <v>802.09379999999999</v>
      </c>
      <c r="E9" s="97">
        <v>802.09379999999999</v>
      </c>
      <c r="F9" s="97">
        <v>802.09379999999999</v>
      </c>
      <c r="G9" s="97">
        <v>802.09379999999999</v>
      </c>
      <c r="H9" s="97">
        <v>802.09379999999999</v>
      </c>
      <c r="I9" s="97">
        <v>802.09379999999999</v>
      </c>
      <c r="J9" s="97">
        <v>802.09379999999999</v>
      </c>
      <c r="K9" s="97">
        <v>802.09379999999999</v>
      </c>
      <c r="L9" s="97">
        <v>802.09379999999999</v>
      </c>
      <c r="M9" s="97">
        <v>802.09379999999999</v>
      </c>
      <c r="N9" s="97">
        <v>802.09379999999999</v>
      </c>
      <c r="O9" s="97">
        <v>802.09379999999999</v>
      </c>
    </row>
    <row r="10" spans="1:15" ht="18" x14ac:dyDescent="0.4">
      <c r="A10" s="3" t="s">
        <v>33</v>
      </c>
      <c r="B10" s="2" t="s">
        <v>5</v>
      </c>
      <c r="C10" s="97">
        <v>611.40009999999995</v>
      </c>
    </row>
    <row r="11" spans="1:15" x14ac:dyDescent="0.3">
      <c r="A11" s="3" t="s">
        <v>49</v>
      </c>
      <c r="B11" s="2" t="s">
        <v>5</v>
      </c>
      <c r="C11" s="97">
        <v>190.69370000000001</v>
      </c>
    </row>
    <row r="12" spans="1:15" ht="18" x14ac:dyDescent="0.4">
      <c r="A12" s="102" t="s">
        <v>19</v>
      </c>
      <c r="B12" s="5" t="s">
        <v>8</v>
      </c>
      <c r="C12" s="60">
        <f>(C9-C10)/C9*100</f>
        <v>23.774488719399155</v>
      </c>
      <c r="D12" s="60">
        <f t="shared" ref="D12:O12" si="1">(D9-D10)/D9*100</f>
        <v>100</v>
      </c>
      <c r="E12" s="60">
        <f t="shared" si="1"/>
        <v>100</v>
      </c>
      <c r="F12" s="60">
        <f t="shared" si="1"/>
        <v>100</v>
      </c>
      <c r="G12" s="60">
        <f t="shared" si="1"/>
        <v>100</v>
      </c>
      <c r="H12" s="60">
        <f t="shared" si="1"/>
        <v>100</v>
      </c>
      <c r="I12" s="60">
        <f t="shared" si="1"/>
        <v>100</v>
      </c>
      <c r="J12" s="60">
        <f t="shared" si="1"/>
        <v>100</v>
      </c>
      <c r="K12" s="60">
        <f t="shared" si="1"/>
        <v>100</v>
      </c>
      <c r="L12" s="60">
        <f t="shared" si="1"/>
        <v>100</v>
      </c>
      <c r="M12" s="60">
        <f t="shared" si="1"/>
        <v>100</v>
      </c>
      <c r="N12" s="60">
        <f t="shared" si="1"/>
        <v>100</v>
      </c>
      <c r="O12" s="60">
        <f t="shared" si="1"/>
        <v>100</v>
      </c>
    </row>
    <row r="13" spans="1:15" x14ac:dyDescent="0.3">
      <c r="A13" s="3" t="s">
        <v>20</v>
      </c>
      <c r="B13" s="2" t="s">
        <v>1</v>
      </c>
      <c r="C13" s="97">
        <v>44.323790000000002</v>
      </c>
    </row>
    <row r="14" spans="1:15" ht="18" x14ac:dyDescent="0.4">
      <c r="A14" s="3" t="s">
        <v>21</v>
      </c>
      <c r="B14" s="2" t="s">
        <v>1</v>
      </c>
      <c r="C14" s="97">
        <v>16.729050000000001</v>
      </c>
    </row>
    <row r="15" spans="1:15" x14ac:dyDescent="0.3">
      <c r="A15" s="3" t="s">
        <v>97</v>
      </c>
      <c r="B15" s="2" t="s">
        <v>5</v>
      </c>
      <c r="C15">
        <f>0.0001738678+0.08450085</f>
        <v>8.4674717800000007E-2</v>
      </c>
    </row>
    <row r="16" spans="1:15" ht="18" x14ac:dyDescent="0.4">
      <c r="A16" s="3" t="s">
        <v>22</v>
      </c>
      <c r="B16" s="2" t="s">
        <v>98</v>
      </c>
      <c r="C16">
        <f>4332.964/(4803.605+4132.57)</f>
        <v>0.48487904500527357</v>
      </c>
    </row>
    <row r="17" spans="1:16" ht="18" x14ac:dyDescent="0.4">
      <c r="A17" s="3" t="s">
        <v>23</v>
      </c>
      <c r="B17" s="2" t="s">
        <v>1</v>
      </c>
      <c r="C17">
        <v>65</v>
      </c>
      <c r="D17" s="97">
        <v>65</v>
      </c>
      <c r="E17" s="97">
        <v>65</v>
      </c>
      <c r="F17" s="97">
        <v>65</v>
      </c>
      <c r="G17" s="97">
        <v>65</v>
      </c>
      <c r="H17" s="97">
        <v>65</v>
      </c>
      <c r="I17" s="97">
        <v>65</v>
      </c>
      <c r="J17" s="97">
        <v>65</v>
      </c>
      <c r="K17" s="97">
        <v>65</v>
      </c>
      <c r="L17" s="97">
        <v>65</v>
      </c>
      <c r="M17" s="97">
        <v>65</v>
      </c>
      <c r="N17" s="97">
        <v>65</v>
      </c>
      <c r="O17" s="97">
        <v>65</v>
      </c>
    </row>
    <row r="18" spans="1:16" ht="18" x14ac:dyDescent="0.4">
      <c r="A18" s="3" t="s">
        <v>24</v>
      </c>
      <c r="B18" s="2" t="s">
        <v>98</v>
      </c>
      <c r="C18">
        <v>0.21</v>
      </c>
      <c r="D18" s="97">
        <v>0.21</v>
      </c>
      <c r="E18" s="97">
        <v>0.21</v>
      </c>
      <c r="F18" s="97">
        <v>0.21</v>
      </c>
      <c r="G18" s="97">
        <v>0.21</v>
      </c>
      <c r="H18" s="97">
        <v>0.21</v>
      </c>
      <c r="I18" s="97">
        <v>0.21</v>
      </c>
      <c r="J18" s="97">
        <v>0.21</v>
      </c>
      <c r="K18" s="97">
        <v>0.21</v>
      </c>
      <c r="L18" s="97">
        <v>0.21</v>
      </c>
      <c r="M18" s="97">
        <v>0.21</v>
      </c>
      <c r="N18" s="97">
        <v>0.21</v>
      </c>
      <c r="O18" s="97">
        <v>0.21</v>
      </c>
    </row>
    <row r="19" spans="1:16" x14ac:dyDescent="0.3">
      <c r="A19" s="3" t="s">
        <v>25</v>
      </c>
      <c r="B19" s="2" t="s">
        <v>10</v>
      </c>
      <c r="C19" s="60">
        <v>886.97400000000005</v>
      </c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0"/>
    </row>
    <row r="20" spans="1:16" ht="18" x14ac:dyDescent="0.4">
      <c r="A20" s="3" t="s">
        <v>26</v>
      </c>
      <c r="B20" s="2" t="s">
        <v>1</v>
      </c>
      <c r="C20" s="97">
        <v>121.31180000000001</v>
      </c>
    </row>
    <row r="21" spans="1:16" x14ac:dyDescent="0.3">
      <c r="A21" s="3" t="s">
        <v>99</v>
      </c>
      <c r="B21" s="2" t="s">
        <v>5</v>
      </c>
      <c r="C21" s="97">
        <f>0.00149359+0.04429849</f>
        <v>4.5792080000000006E-2</v>
      </c>
    </row>
    <row r="22" spans="1:16" x14ac:dyDescent="0.3">
      <c r="A22" s="3" t="s">
        <v>100</v>
      </c>
      <c r="B22" s="2" t="s">
        <v>5</v>
      </c>
      <c r="C22" s="97">
        <f>C21+C15</f>
        <v>0.13046679780000001</v>
      </c>
      <c r="D22" s="97">
        <f t="shared" ref="D22:O22" si="2">D21+D15</f>
        <v>0</v>
      </c>
      <c r="E22" s="97">
        <f t="shared" si="2"/>
        <v>0</v>
      </c>
      <c r="F22" s="97">
        <f t="shared" si="2"/>
        <v>0</v>
      </c>
      <c r="G22" s="97">
        <f t="shared" si="2"/>
        <v>0</v>
      </c>
      <c r="H22" s="97">
        <f t="shared" si="2"/>
        <v>0</v>
      </c>
      <c r="I22" s="97">
        <f t="shared" si="2"/>
        <v>0</v>
      </c>
      <c r="J22" s="97">
        <f t="shared" si="2"/>
        <v>0</v>
      </c>
      <c r="K22" s="97">
        <f t="shared" si="2"/>
        <v>0</v>
      </c>
      <c r="L22" s="97">
        <f t="shared" si="2"/>
        <v>0</v>
      </c>
      <c r="M22" s="97">
        <f t="shared" si="2"/>
        <v>0</v>
      </c>
      <c r="N22" s="97">
        <f t="shared" si="2"/>
        <v>0</v>
      </c>
      <c r="O22" s="97">
        <f t="shared" si="2"/>
        <v>0</v>
      </c>
    </row>
    <row r="23" spans="1:16" x14ac:dyDescent="0.3">
      <c r="A23" s="3" t="s">
        <v>101</v>
      </c>
      <c r="B23" s="2" t="s">
        <v>52</v>
      </c>
      <c r="C23" s="97">
        <f>C22/C11*1000</f>
        <v>0.6841694182870226</v>
      </c>
      <c r="D23" s="97" t="e">
        <f t="shared" ref="D23:O23" si="3">D22/D11*1000</f>
        <v>#DIV/0!</v>
      </c>
      <c r="E23" s="97" t="e">
        <f t="shared" si="3"/>
        <v>#DIV/0!</v>
      </c>
      <c r="F23" s="97" t="e">
        <f t="shared" si="3"/>
        <v>#DIV/0!</v>
      </c>
      <c r="G23" s="97" t="e">
        <f t="shared" si="3"/>
        <v>#DIV/0!</v>
      </c>
      <c r="H23" s="97" t="e">
        <f t="shared" si="3"/>
        <v>#DIV/0!</v>
      </c>
      <c r="I23" s="97" t="e">
        <f t="shared" si="3"/>
        <v>#DIV/0!</v>
      </c>
      <c r="J23" s="97" t="e">
        <f t="shared" si="3"/>
        <v>#DIV/0!</v>
      </c>
      <c r="K23" s="97" t="e">
        <f t="shared" si="3"/>
        <v>#DIV/0!</v>
      </c>
      <c r="L23" s="97" t="e">
        <f t="shared" si="3"/>
        <v>#DIV/0!</v>
      </c>
      <c r="M23" s="97" t="e">
        <f t="shared" si="3"/>
        <v>#DIV/0!</v>
      </c>
      <c r="N23" s="97" t="e">
        <f t="shared" si="3"/>
        <v>#DIV/0!</v>
      </c>
      <c r="O23" s="97" t="e">
        <f t="shared" si="3"/>
        <v>#DIV/0!</v>
      </c>
    </row>
    <row r="24" spans="1:16" x14ac:dyDescent="0.3">
      <c r="A24" s="3" t="s">
        <v>34</v>
      </c>
      <c r="B24" s="2" t="s">
        <v>28</v>
      </c>
      <c r="C24" s="97">
        <f>C19/C11</f>
        <v>4.6513020618929728</v>
      </c>
      <c r="D24" s="97" t="e">
        <f t="shared" ref="D24:O24" si="4">D19/D11</f>
        <v>#DIV/0!</v>
      </c>
      <c r="E24" s="97" t="e">
        <f t="shared" si="4"/>
        <v>#DIV/0!</v>
      </c>
      <c r="F24" s="97" t="e">
        <f t="shared" si="4"/>
        <v>#DIV/0!</v>
      </c>
      <c r="G24" s="97" t="e">
        <f t="shared" si="4"/>
        <v>#DIV/0!</v>
      </c>
      <c r="H24" s="97" t="e">
        <f t="shared" si="4"/>
        <v>#DIV/0!</v>
      </c>
      <c r="I24" s="97" t="e">
        <f t="shared" si="4"/>
        <v>#DIV/0!</v>
      </c>
      <c r="J24" s="97" t="e">
        <f t="shared" si="4"/>
        <v>#DIV/0!</v>
      </c>
      <c r="K24" s="97" t="e">
        <f t="shared" si="4"/>
        <v>#DIV/0!</v>
      </c>
      <c r="L24" s="97" t="e">
        <f t="shared" si="4"/>
        <v>#DIV/0!</v>
      </c>
      <c r="M24" s="97" t="e">
        <f t="shared" si="4"/>
        <v>#DIV/0!</v>
      </c>
      <c r="N24" s="97" t="e">
        <f t="shared" si="4"/>
        <v>#DIV/0!</v>
      </c>
      <c r="O24" s="97" t="e">
        <f t="shared" si="4"/>
        <v>#DIV/0!</v>
      </c>
    </row>
    <row r="25" spans="1:16" x14ac:dyDescent="0.3">
      <c r="A25" s="150" t="s">
        <v>27</v>
      </c>
      <c r="B25" s="12" t="s">
        <v>36</v>
      </c>
    </row>
    <row r="26" spans="1:16" x14ac:dyDescent="0.3">
      <c r="A26" s="150"/>
      <c r="B26" s="2" t="s">
        <v>11</v>
      </c>
      <c r="C26" s="97">
        <v>0.7348169</v>
      </c>
    </row>
    <row r="27" spans="1:16" x14ac:dyDescent="0.3">
      <c r="A27" s="150"/>
      <c r="B27" s="2" t="s">
        <v>12</v>
      </c>
      <c r="C27" s="67">
        <v>4.3782979999999996E-6</v>
      </c>
    </row>
    <row r="28" spans="1:16" x14ac:dyDescent="0.3">
      <c r="A28" s="150"/>
      <c r="B28" s="2" t="s">
        <v>13</v>
      </c>
      <c r="C28" s="97">
        <v>1.3843180000000001E-3</v>
      </c>
    </row>
    <row r="29" spans="1:16" x14ac:dyDescent="0.3">
      <c r="A29" s="150"/>
      <c r="B29" s="2" t="s">
        <v>14</v>
      </c>
      <c r="C29" s="97">
        <v>2.42E-4</v>
      </c>
    </row>
    <row r="30" spans="1:16" x14ac:dyDescent="0.3">
      <c r="A30" s="150"/>
      <c r="B30" s="2" t="s">
        <v>15</v>
      </c>
      <c r="C30" s="97">
        <v>0.26332250000000001</v>
      </c>
    </row>
    <row r="31" spans="1:16" x14ac:dyDescent="0.3">
      <c r="A31" s="150"/>
      <c r="B31" s="2" t="s">
        <v>90</v>
      </c>
      <c r="C31" s="67">
        <v>7.501889E-6</v>
      </c>
    </row>
    <row r="32" spans="1:16" x14ac:dyDescent="0.3">
      <c r="A32" s="150"/>
      <c r="B32" s="2" t="s">
        <v>0</v>
      </c>
      <c r="C32" s="97">
        <v>2.2249910000000001E-4</v>
      </c>
    </row>
    <row r="33" spans="1:3" x14ac:dyDescent="0.3">
      <c r="A33" s="150" t="s">
        <v>27</v>
      </c>
      <c r="B33" s="12" t="s">
        <v>35</v>
      </c>
    </row>
    <row r="34" spans="1:3" x14ac:dyDescent="0.3">
      <c r="A34" s="150"/>
      <c r="B34" s="2" t="s">
        <v>11</v>
      </c>
      <c r="C34" s="97">
        <v>0.53217590000000004</v>
      </c>
    </row>
    <row r="35" spans="1:3" x14ac:dyDescent="0.3">
      <c r="A35" s="150"/>
      <c r="B35" s="2" t="s">
        <v>12</v>
      </c>
      <c r="C35" s="67">
        <v>2.17827E-6</v>
      </c>
    </row>
    <row r="36" spans="1:3" x14ac:dyDescent="0.3">
      <c r="A36" s="150"/>
      <c r="B36" s="2" t="s">
        <v>13</v>
      </c>
      <c r="C36" s="97">
        <v>1.5750269999999999E-3</v>
      </c>
    </row>
    <row r="37" spans="1:3" x14ac:dyDescent="0.3">
      <c r="A37" s="150"/>
      <c r="B37" s="2" t="s">
        <v>14</v>
      </c>
      <c r="C37" s="97">
        <v>2.410495E-4</v>
      </c>
    </row>
    <row r="38" spans="1:3" x14ac:dyDescent="0.3">
      <c r="A38" s="150"/>
      <c r="B38" s="2" t="s">
        <v>15</v>
      </c>
      <c r="C38" s="97">
        <v>0.46588750000000001</v>
      </c>
    </row>
    <row r="39" spans="1:3" x14ac:dyDescent="0.3">
      <c r="A39" s="150"/>
      <c r="B39" s="2" t="s">
        <v>90</v>
      </c>
      <c r="C39" s="67">
        <v>2.2742720000000001E-6</v>
      </c>
    </row>
    <row r="40" spans="1:3" x14ac:dyDescent="0.3">
      <c r="A40" s="150"/>
      <c r="B40" s="2" t="s">
        <v>0</v>
      </c>
      <c r="C40" s="97">
        <v>1.1609889999999999E-4</v>
      </c>
    </row>
  </sheetData>
  <mergeCells count="2">
    <mergeCell ref="A25:A32"/>
    <mergeCell ref="A33:A4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Foi de lucru</vt:lpstr>
      </vt:variant>
      <vt:variant>
        <vt:i4>22</vt:i4>
      </vt:variant>
    </vt:vector>
  </HeadingPairs>
  <TitlesOfParts>
    <vt:vector size="22" baseType="lpstr">
      <vt:lpstr>Compozitie gaze de ardere</vt:lpstr>
      <vt:lpstr>90%</vt:lpstr>
      <vt:lpstr>GRAFICE</vt:lpstr>
      <vt:lpstr>DGA 30%</vt:lpstr>
      <vt:lpstr>MEA 30%</vt:lpstr>
      <vt:lpstr>DEA 30%</vt:lpstr>
      <vt:lpstr>MDEA 30%</vt:lpstr>
      <vt:lpstr>MEA 30% + piperazina</vt:lpstr>
      <vt:lpstr>DGA 20% + MEA 10%</vt:lpstr>
      <vt:lpstr>MEA 20%</vt:lpstr>
      <vt:lpstr>DEA 20%</vt:lpstr>
      <vt:lpstr>MDEA 20%</vt:lpstr>
      <vt:lpstr>MEA 10%</vt:lpstr>
      <vt:lpstr>DEA 10%</vt:lpstr>
      <vt:lpstr>MDEA 10%</vt:lpstr>
      <vt:lpstr>MEA 20%+DEA 10%</vt:lpstr>
      <vt:lpstr>MEA 20% + MDEA 10%</vt:lpstr>
      <vt:lpstr>MEA 10% + DEA 20%</vt:lpstr>
      <vt:lpstr>MEA 10% + MDEA 20%</vt:lpstr>
      <vt:lpstr>DEA 10% + MDEA 20%</vt:lpstr>
      <vt:lpstr>DEA 20% + MDEA 10%</vt:lpstr>
      <vt:lpstr>MEA 10% + DEA 10% + MDEA 10%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adryan_pascu@hotmail.com</cp:lastModifiedBy>
  <dcterms:created xsi:type="dcterms:W3CDTF">2022-04-09T12:43:53Z</dcterms:created>
  <dcterms:modified xsi:type="dcterms:W3CDTF">2022-08-08T12:36:22Z</dcterms:modified>
</cp:coreProperties>
</file>